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22FY\"/>
    </mc:Choice>
  </mc:AlternateContent>
  <bookViews>
    <workbookView xWindow="-30" yWindow="75" windowWidth="13755" windowHeight="13155"/>
  </bookViews>
  <sheets>
    <sheet name="Weekly Summary" sheetId="3" r:id="rId1"/>
    <sheet name="Table Games" sheetId="2" r:id="rId2"/>
    <sheet name="Video" sheetId="1" r:id="rId3"/>
  </sheets>
  <definedNames>
    <definedName name="_xlnm.Print_Area" localSheetId="1">'Table Games'!$A$1:$N$66</definedName>
    <definedName name="_xlnm.Print_Area" localSheetId="2">Video!$A$1:$K$65</definedName>
    <definedName name="_xlnm.Print_Area" localSheetId="0">'Weekly Summary'!$A$1:$P$67</definedName>
  </definedNames>
  <calcPr calcId="162913"/>
</workbook>
</file>

<file path=xl/calcChain.xml><?xml version="1.0" encoding="utf-8"?>
<calcChain xmlns="http://schemas.openxmlformats.org/spreadsheetml/2006/main">
  <c r="J61" i="3" l="1"/>
  <c r="I61" i="3"/>
  <c r="H61" i="3"/>
  <c r="G61" i="3"/>
  <c r="F61" i="3"/>
  <c r="E61" i="3"/>
  <c r="D61" i="3"/>
  <c r="C61" i="3"/>
  <c r="B61" i="3"/>
  <c r="E58" i="1"/>
  <c r="H58" i="1" s="1"/>
  <c r="K60" i="2"/>
  <c r="N60" i="2" s="1"/>
  <c r="F58" i="1" l="1"/>
  <c r="I58" i="1"/>
  <c r="K61" i="3"/>
  <c r="P61" i="3"/>
  <c r="G58" i="1"/>
  <c r="L61" i="3"/>
  <c r="J58" i="1"/>
  <c r="O61" i="3"/>
  <c r="L60" i="2"/>
  <c r="M61" i="3" s="1"/>
  <c r="M60" i="2"/>
  <c r="L60" i="3"/>
  <c r="J60" i="3"/>
  <c r="I60" i="3"/>
  <c r="H60" i="3"/>
  <c r="G60" i="3"/>
  <c r="F60" i="3"/>
  <c r="E60" i="3"/>
  <c r="D60" i="3"/>
  <c r="C60" i="3"/>
  <c r="B60" i="3"/>
  <c r="E57" i="1"/>
  <c r="F57" i="1" s="1"/>
  <c r="K59" i="2"/>
  <c r="N59" i="2" s="1"/>
  <c r="G57" i="1" l="1"/>
  <c r="N61" i="3"/>
  <c r="K60" i="3"/>
  <c r="H57" i="1"/>
  <c r="O60" i="3" s="1"/>
  <c r="I57" i="1"/>
  <c r="P60" i="3" s="1"/>
  <c r="J57" i="1"/>
  <c r="M59" i="2"/>
  <c r="N60" i="3" s="1"/>
  <c r="L59" i="2"/>
  <c r="M60" i="3" s="1"/>
  <c r="N58" i="2"/>
  <c r="J59" i="3" l="1"/>
  <c r="I59" i="3"/>
  <c r="H59" i="3"/>
  <c r="G59" i="3"/>
  <c r="F59" i="3"/>
  <c r="E59" i="3"/>
  <c r="D59" i="3"/>
  <c r="C59" i="3"/>
  <c r="B59" i="3"/>
  <c r="E56" i="1"/>
  <c r="H56" i="1" s="1"/>
  <c r="K58" i="2"/>
  <c r="I56" i="1" l="1"/>
  <c r="F56" i="1"/>
  <c r="K59" i="3"/>
  <c r="P59" i="3"/>
  <c r="O59" i="3"/>
  <c r="L59" i="3"/>
  <c r="J56" i="1"/>
  <c r="G56" i="1"/>
  <c r="L58" i="2"/>
  <c r="M59" i="3" s="1"/>
  <c r="M58" i="2"/>
  <c r="N59" i="3" l="1"/>
  <c r="J58" i="3"/>
  <c r="I58" i="3"/>
  <c r="H58" i="3"/>
  <c r="G58" i="3"/>
  <c r="F58" i="3"/>
  <c r="E58" i="3"/>
  <c r="D58" i="3"/>
  <c r="C58" i="3"/>
  <c r="B58" i="3"/>
  <c r="E55" i="1"/>
  <c r="K57" i="2"/>
  <c r="N57" i="2" s="1"/>
  <c r="H55" i="1" l="1"/>
  <c r="O58" i="3" s="1"/>
  <c r="I55" i="1"/>
  <c r="F55" i="1"/>
  <c r="K58" i="3"/>
  <c r="P58" i="3"/>
  <c r="L58" i="3"/>
  <c r="J55" i="1"/>
  <c r="G55" i="1"/>
  <c r="L57" i="2"/>
  <c r="M57" i="2"/>
  <c r="N56" i="2"/>
  <c r="M58" i="3" l="1"/>
  <c r="N58" i="3"/>
  <c r="J57" i="3"/>
  <c r="I57" i="3"/>
  <c r="H57" i="3"/>
  <c r="G57" i="3"/>
  <c r="F57" i="3"/>
  <c r="E57" i="3"/>
  <c r="D57" i="3"/>
  <c r="C57" i="3"/>
  <c r="B57" i="3"/>
  <c r="E54" i="1"/>
  <c r="L57" i="3" s="1"/>
  <c r="K56" i="2"/>
  <c r="L56" i="2" s="1"/>
  <c r="F54" i="1" l="1"/>
  <c r="I54" i="1"/>
  <c r="K57" i="3"/>
  <c r="M57" i="3"/>
  <c r="H54" i="1"/>
  <c r="O57" i="3" s="1"/>
  <c r="J54" i="1"/>
  <c r="G54" i="1"/>
  <c r="P57" i="3"/>
  <c r="M56" i="2"/>
  <c r="J56" i="3"/>
  <c r="I56" i="3"/>
  <c r="H56" i="3"/>
  <c r="G56" i="3"/>
  <c r="F56" i="3"/>
  <c r="E56" i="3"/>
  <c r="D56" i="3"/>
  <c r="C56" i="3"/>
  <c r="B56" i="3"/>
  <c r="K55" i="2"/>
  <c r="K56" i="3" s="1"/>
  <c r="N57" i="3" l="1"/>
  <c r="N55" i="2"/>
  <c r="L55" i="2"/>
  <c r="M55" i="2"/>
  <c r="I53" i="1"/>
  <c r="H53" i="1"/>
  <c r="O56" i="3" s="1"/>
  <c r="G53" i="1"/>
  <c r="F53" i="1"/>
  <c r="E53" i="1"/>
  <c r="L56" i="3" s="1"/>
  <c r="N56" i="3" l="1"/>
  <c r="M56" i="3"/>
  <c r="P56" i="3"/>
  <c r="J53" i="1"/>
  <c r="N54" i="2"/>
  <c r="J55" i="3" l="1"/>
  <c r="I55" i="3"/>
  <c r="H55" i="3"/>
  <c r="G55" i="3"/>
  <c r="F55" i="3"/>
  <c r="E55" i="3"/>
  <c r="D55" i="3"/>
  <c r="C55" i="3"/>
  <c r="B55" i="3"/>
  <c r="E52" i="1"/>
  <c r="I52" i="1" s="1"/>
  <c r="K54" i="2"/>
  <c r="K55" i="3" s="1"/>
  <c r="F52" i="1" l="1"/>
  <c r="G52" i="1"/>
  <c r="P55" i="3"/>
  <c r="L55" i="3"/>
  <c r="J52" i="1"/>
  <c r="H52" i="1"/>
  <c r="O55" i="3" s="1"/>
  <c r="L54" i="2"/>
  <c r="M55" i="3" s="1"/>
  <c r="M54" i="2"/>
  <c r="N55" i="3" s="1"/>
  <c r="N53" i="2"/>
  <c r="J54" i="3" l="1"/>
  <c r="I54" i="3"/>
  <c r="H54" i="3"/>
  <c r="G54" i="3"/>
  <c r="F54" i="3"/>
  <c r="E54" i="3"/>
  <c r="D54" i="3"/>
  <c r="C54" i="3"/>
  <c r="B54" i="3"/>
  <c r="E51" i="1"/>
  <c r="L54" i="3" s="1"/>
  <c r="K53" i="2"/>
  <c r="K54" i="3" s="1"/>
  <c r="H51" i="1" l="1"/>
  <c r="O54" i="3" s="1"/>
  <c r="F51" i="1"/>
  <c r="G51" i="1"/>
  <c r="I51" i="1"/>
  <c r="P54" i="3" s="1"/>
  <c r="J51" i="1"/>
  <c r="M53" i="2"/>
  <c r="N54" i="3" s="1"/>
  <c r="L53" i="2"/>
  <c r="M54" i="3" s="1"/>
  <c r="N52" i="2"/>
  <c r="J53" i="3" l="1"/>
  <c r="I53" i="3"/>
  <c r="H53" i="3"/>
  <c r="G53" i="3"/>
  <c r="F53" i="3"/>
  <c r="E53" i="3"/>
  <c r="D53" i="3"/>
  <c r="C53" i="3"/>
  <c r="B53" i="3"/>
  <c r="E50" i="1"/>
  <c r="H50" i="1" s="1"/>
  <c r="K52" i="2"/>
  <c r="K53" i="3" s="1"/>
  <c r="F50" i="1" l="1"/>
  <c r="O53" i="3"/>
  <c r="I50" i="1"/>
  <c r="L53" i="3"/>
  <c r="J50" i="1"/>
  <c r="G50" i="1"/>
  <c r="L52" i="2"/>
  <c r="M53" i="3" s="1"/>
  <c r="M52" i="2"/>
  <c r="B52" i="3"/>
  <c r="N51" i="2"/>
  <c r="N53" i="3" l="1"/>
  <c r="P53" i="3"/>
  <c r="J52" i="3"/>
  <c r="I52" i="3"/>
  <c r="H52" i="3"/>
  <c r="G52" i="3"/>
  <c r="F52" i="3"/>
  <c r="E52" i="3"/>
  <c r="D52" i="3"/>
  <c r="C52" i="3"/>
  <c r="E49" i="1"/>
  <c r="F49" i="1" s="1"/>
  <c r="K51" i="2"/>
  <c r="L51" i="2" s="1"/>
  <c r="L52" i="3" l="1"/>
  <c r="H49" i="1"/>
  <c r="O52" i="3" s="1"/>
  <c r="G49" i="1"/>
  <c r="I49" i="1"/>
  <c r="P52" i="3" s="1"/>
  <c r="M52" i="3"/>
  <c r="K52" i="3"/>
  <c r="J49" i="1"/>
  <c r="M51" i="2"/>
  <c r="N50" i="2"/>
  <c r="N52" i="3" l="1"/>
  <c r="J51" i="3"/>
  <c r="I51" i="3"/>
  <c r="H51" i="3"/>
  <c r="G51" i="3"/>
  <c r="F51" i="3"/>
  <c r="E51" i="3"/>
  <c r="D51" i="3"/>
  <c r="C51" i="3"/>
  <c r="B51" i="3"/>
  <c r="E48" i="1"/>
  <c r="J48" i="1" s="1"/>
  <c r="K50" i="2"/>
  <c r="F48" i="1" l="1"/>
  <c r="G48" i="1"/>
  <c r="H48" i="1"/>
  <c r="I48" i="1"/>
  <c r="K51" i="3"/>
  <c r="L51" i="3"/>
  <c r="O51" i="3"/>
  <c r="P51" i="3"/>
  <c r="M50" i="2"/>
  <c r="L50" i="2"/>
  <c r="M51" i="3" s="1"/>
  <c r="J50" i="3"/>
  <c r="I50" i="3"/>
  <c r="H50" i="3"/>
  <c r="G50" i="3"/>
  <c r="F50" i="3"/>
  <c r="E50" i="3"/>
  <c r="D50" i="3"/>
  <c r="C50" i="3"/>
  <c r="B50" i="3"/>
  <c r="K49" i="2"/>
  <c r="L49" i="2" s="1"/>
  <c r="N51" i="3" l="1"/>
  <c r="K50" i="3"/>
  <c r="M49" i="2"/>
  <c r="N49" i="2"/>
  <c r="E47" i="1"/>
  <c r="J47" i="1" l="1"/>
  <c r="L50" i="3"/>
  <c r="F47" i="1"/>
  <c r="M50" i="3" s="1"/>
  <c r="H47" i="1"/>
  <c r="O50" i="3" s="1"/>
  <c r="I47" i="1"/>
  <c r="P50" i="3" s="1"/>
  <c r="G47" i="1"/>
  <c r="N50" i="3" s="1"/>
  <c r="J49" i="3"/>
  <c r="I49" i="3"/>
  <c r="H49" i="3"/>
  <c r="G49" i="3"/>
  <c r="F49" i="3"/>
  <c r="E49" i="3"/>
  <c r="D49" i="3"/>
  <c r="C49" i="3"/>
  <c r="B49" i="3"/>
  <c r="E46" i="1"/>
  <c r="H46" i="1" s="1"/>
  <c r="O49" i="3" s="1"/>
  <c r="K48" i="2"/>
  <c r="L48" i="2" s="1"/>
  <c r="F46" i="1" l="1"/>
  <c r="L49" i="3"/>
  <c r="I46" i="1"/>
  <c r="N48" i="2"/>
  <c r="P49" i="3" s="1"/>
  <c r="K49" i="3"/>
  <c r="M49" i="3"/>
  <c r="J46" i="1"/>
  <c r="G46" i="1"/>
  <c r="M48" i="2"/>
  <c r="N47" i="2"/>
  <c r="N49" i="3" l="1"/>
  <c r="J48" i="3"/>
  <c r="I48" i="3"/>
  <c r="H48" i="3"/>
  <c r="G48" i="3"/>
  <c r="F48" i="3"/>
  <c r="E48" i="3"/>
  <c r="D48" i="3"/>
  <c r="C48" i="3"/>
  <c r="B48" i="3"/>
  <c r="E45" i="1"/>
  <c r="H45" i="1" s="1"/>
  <c r="O48" i="3" s="1"/>
  <c r="K47" i="2"/>
  <c r="K48" i="3" s="1"/>
  <c r="F45" i="1" l="1"/>
  <c r="I45" i="1"/>
  <c r="P48" i="3" s="1"/>
  <c r="G45" i="1"/>
  <c r="L48" i="3"/>
  <c r="J45" i="1"/>
  <c r="L47" i="2"/>
  <c r="M48" i="3" s="1"/>
  <c r="M47" i="2"/>
  <c r="N46" i="2"/>
  <c r="N48" i="3" l="1"/>
  <c r="J47" i="3"/>
  <c r="I47" i="3"/>
  <c r="H47" i="3"/>
  <c r="G47" i="3"/>
  <c r="F47" i="3"/>
  <c r="E47" i="3"/>
  <c r="D47" i="3"/>
  <c r="C47" i="3"/>
  <c r="B47" i="3"/>
  <c r="E44" i="1"/>
  <c r="L47" i="3" s="1"/>
  <c r="K46" i="2"/>
  <c r="M46" i="2" s="1"/>
  <c r="F44" i="1" l="1"/>
  <c r="G44" i="1"/>
  <c r="K47" i="3"/>
  <c r="H44" i="1"/>
  <c r="O47" i="3" s="1"/>
  <c r="I44" i="1"/>
  <c r="J44" i="1"/>
  <c r="N47" i="3"/>
  <c r="L46" i="2"/>
  <c r="M47" i="3" s="1"/>
  <c r="K46" i="3"/>
  <c r="J46" i="3"/>
  <c r="I46" i="3"/>
  <c r="H46" i="3"/>
  <c r="G46" i="3"/>
  <c r="F46" i="3"/>
  <c r="E46" i="3"/>
  <c r="D46" i="3"/>
  <c r="C46" i="3"/>
  <c r="B46" i="3"/>
  <c r="K45" i="2"/>
  <c r="L45" i="2" s="1"/>
  <c r="P47" i="3" l="1"/>
  <c r="M45" i="2"/>
  <c r="N45" i="2"/>
  <c r="E43" i="1" l="1"/>
  <c r="L46" i="3" l="1"/>
  <c r="J43" i="1"/>
  <c r="F43" i="1"/>
  <c r="M46" i="3" s="1"/>
  <c r="H43" i="1"/>
  <c r="O46" i="3" s="1"/>
  <c r="I43" i="1"/>
  <c r="P46" i="3" s="1"/>
  <c r="G43" i="1"/>
  <c r="N46" i="3" s="1"/>
  <c r="J45" i="3"/>
  <c r="I45" i="3"/>
  <c r="H45" i="3"/>
  <c r="G45" i="3"/>
  <c r="F45" i="3"/>
  <c r="E45" i="3"/>
  <c r="D45" i="3"/>
  <c r="C45" i="3"/>
  <c r="B45" i="3"/>
  <c r="E42" i="1"/>
  <c r="I42" i="1" s="1"/>
  <c r="K44" i="2"/>
  <c r="N44" i="2" s="1"/>
  <c r="P45" i="3" l="1"/>
  <c r="K45" i="3"/>
  <c r="G42" i="1"/>
  <c r="L45" i="3"/>
  <c r="F42" i="1"/>
  <c r="J42" i="1"/>
  <c r="H42" i="1"/>
  <c r="O45" i="3" s="1"/>
  <c r="L44" i="2"/>
  <c r="M44" i="2"/>
  <c r="B44" i="3"/>
  <c r="M45" i="3" l="1"/>
  <c r="N45" i="3"/>
  <c r="N43" i="2"/>
  <c r="C44" i="3"/>
  <c r="H44" i="3"/>
  <c r="J44" i="3"/>
  <c r="F41" i="1" l="1"/>
  <c r="I44" i="3"/>
  <c r="G44" i="3"/>
  <c r="F44" i="3"/>
  <c r="E44" i="3"/>
  <c r="D44" i="3"/>
  <c r="I41" i="1"/>
  <c r="E41" i="1"/>
  <c r="J41" i="1" s="1"/>
  <c r="K43" i="2"/>
  <c r="G41" i="1" l="1"/>
  <c r="L43" i="2"/>
  <c r="M44" i="3" s="1"/>
  <c r="K44" i="3"/>
  <c r="P44" i="3"/>
  <c r="L44" i="3"/>
  <c r="H41" i="1"/>
  <c r="O44" i="3" s="1"/>
  <c r="M43" i="2"/>
  <c r="N44" i="3" s="1"/>
  <c r="N42" i="2"/>
  <c r="J43" i="3" l="1"/>
  <c r="I43" i="3"/>
  <c r="H43" i="3"/>
  <c r="G43" i="3"/>
  <c r="F43" i="3"/>
  <c r="E43" i="3"/>
  <c r="D43" i="3"/>
  <c r="C43" i="3"/>
  <c r="B43" i="3"/>
  <c r="E40" i="1"/>
  <c r="J40" i="1" s="1"/>
  <c r="K42" i="2"/>
  <c r="K43" i="3" s="1"/>
  <c r="F40" i="1" l="1"/>
  <c r="I40" i="1"/>
  <c r="P43" i="3"/>
  <c r="H40" i="1"/>
  <c r="O43" i="3" s="1"/>
  <c r="L43" i="3"/>
  <c r="G40" i="1"/>
  <c r="M42" i="2"/>
  <c r="L42" i="2"/>
  <c r="M43" i="3" s="1"/>
  <c r="N41" i="2"/>
  <c r="N43" i="3" l="1"/>
  <c r="J42" i="3"/>
  <c r="I42" i="3"/>
  <c r="H42" i="3"/>
  <c r="G42" i="3"/>
  <c r="F42" i="3"/>
  <c r="E42" i="3"/>
  <c r="D42" i="3"/>
  <c r="C42" i="3"/>
  <c r="B42" i="3"/>
  <c r="E39" i="1"/>
  <c r="J39" i="1" s="1"/>
  <c r="K41" i="2"/>
  <c r="M41" i="2" s="1"/>
  <c r="H39" i="1" l="1"/>
  <c r="F39" i="1"/>
  <c r="G39" i="1"/>
  <c r="N42" i="3" s="1"/>
  <c r="I39" i="1"/>
  <c r="P42" i="3" s="1"/>
  <c r="K42" i="3"/>
  <c r="L42" i="3"/>
  <c r="O42" i="3"/>
  <c r="L41" i="2"/>
  <c r="M42" i="3" s="1"/>
  <c r="N40" i="2"/>
  <c r="J41" i="3" l="1"/>
  <c r="I41" i="3"/>
  <c r="H41" i="3"/>
  <c r="G41" i="3"/>
  <c r="F41" i="3"/>
  <c r="E41" i="3"/>
  <c r="D41" i="3"/>
  <c r="C41" i="3"/>
  <c r="B41" i="3"/>
  <c r="E38" i="1"/>
  <c r="L41" i="3" s="1"/>
  <c r="K40" i="2"/>
  <c r="M40" i="2" s="1"/>
  <c r="F38" i="1" l="1"/>
  <c r="H38" i="1"/>
  <c r="O41" i="3" s="1"/>
  <c r="K41" i="3"/>
  <c r="I38" i="1"/>
  <c r="J38" i="1"/>
  <c r="G38" i="1"/>
  <c r="N41" i="3" s="1"/>
  <c r="L40" i="2"/>
  <c r="M41" i="3" s="1"/>
  <c r="N39" i="2"/>
  <c r="P41" i="3" l="1"/>
  <c r="J40" i="3"/>
  <c r="I40" i="3"/>
  <c r="H40" i="3"/>
  <c r="G40" i="3"/>
  <c r="F40" i="3"/>
  <c r="E40" i="3"/>
  <c r="D40" i="3"/>
  <c r="C40" i="3"/>
  <c r="B40" i="3"/>
  <c r="E37" i="1"/>
  <c r="J37" i="1" s="1"/>
  <c r="K39" i="2"/>
  <c r="H37" i="1" l="1"/>
  <c r="O40" i="3" s="1"/>
  <c r="F37" i="1"/>
  <c r="K40" i="3"/>
  <c r="L40" i="3"/>
  <c r="G37" i="1"/>
  <c r="I37" i="1"/>
  <c r="P40" i="3" s="1"/>
  <c r="L39" i="2"/>
  <c r="M40" i="3" s="1"/>
  <c r="M39" i="2"/>
  <c r="J39" i="3"/>
  <c r="I39" i="3"/>
  <c r="H39" i="3"/>
  <c r="G39" i="3"/>
  <c r="F39" i="3"/>
  <c r="E39" i="3"/>
  <c r="D39" i="3"/>
  <c r="C39" i="3"/>
  <c r="B39" i="3"/>
  <c r="E36" i="1"/>
  <c r="H36" i="1" s="1"/>
  <c r="K38" i="2"/>
  <c r="M38" i="2" s="1"/>
  <c r="N40" i="3" l="1"/>
  <c r="N38" i="2"/>
  <c r="K39" i="3"/>
  <c r="O39" i="3"/>
  <c r="L39" i="3"/>
  <c r="F36" i="1"/>
  <c r="G36" i="1"/>
  <c r="N39" i="3" s="1"/>
  <c r="I36" i="1"/>
  <c r="P39" i="3" s="1"/>
  <c r="J36" i="1"/>
  <c r="L38" i="2"/>
  <c r="N37" i="2"/>
  <c r="M39" i="3" l="1"/>
  <c r="J38" i="3"/>
  <c r="I38" i="3"/>
  <c r="H38" i="3"/>
  <c r="G38" i="3"/>
  <c r="F38" i="3"/>
  <c r="E38" i="3"/>
  <c r="D38" i="3"/>
  <c r="C38" i="3"/>
  <c r="B38" i="3"/>
  <c r="E35" i="1"/>
  <c r="J35" i="1" s="1"/>
  <c r="K37" i="2"/>
  <c r="L37" i="2" s="1"/>
  <c r="F35" i="1" l="1"/>
  <c r="G35" i="1"/>
  <c r="H35" i="1"/>
  <c r="I35" i="1"/>
  <c r="P38" i="3" s="1"/>
  <c r="K38" i="3"/>
  <c r="M38" i="3"/>
  <c r="O38" i="3"/>
  <c r="L38" i="3"/>
  <c r="M37" i="2"/>
  <c r="N38" i="3" s="1"/>
  <c r="J37" i="3"/>
  <c r="I37" i="3"/>
  <c r="H37" i="3"/>
  <c r="G37" i="3"/>
  <c r="F37" i="3"/>
  <c r="E37" i="3"/>
  <c r="D37" i="3"/>
  <c r="C37" i="3"/>
  <c r="B37" i="3"/>
  <c r="E34" i="1"/>
  <c r="J34" i="1" s="1"/>
  <c r="K36" i="2"/>
  <c r="L36" i="2" s="1"/>
  <c r="F34" i="1" l="1"/>
  <c r="H34" i="1"/>
  <c r="O37" i="3" s="1"/>
  <c r="K37" i="3"/>
  <c r="L37" i="3"/>
  <c r="I34" i="1"/>
  <c r="M37" i="3"/>
  <c r="G34" i="1"/>
  <c r="M36" i="2"/>
  <c r="N36" i="2"/>
  <c r="P37" i="3" l="1"/>
  <c r="N37" i="3"/>
  <c r="J36" i="3"/>
  <c r="I36" i="3"/>
  <c r="H36" i="3"/>
  <c r="G36" i="3"/>
  <c r="F36" i="3"/>
  <c r="E36" i="3"/>
  <c r="D36" i="3"/>
  <c r="C36" i="3"/>
  <c r="B36" i="3"/>
  <c r="E33" i="1"/>
  <c r="K35" i="2"/>
  <c r="L35" i="2" s="1"/>
  <c r="L36" i="3" l="1"/>
  <c r="I33" i="1"/>
  <c r="H33" i="1"/>
  <c r="F33" i="1"/>
  <c r="N35" i="2"/>
  <c r="P36" i="3" s="1"/>
  <c r="K36" i="3"/>
  <c r="O36" i="3"/>
  <c r="J33" i="1"/>
  <c r="M36" i="3"/>
  <c r="G33" i="1"/>
  <c r="M35" i="2"/>
  <c r="N34" i="2"/>
  <c r="K34" i="2"/>
  <c r="L34" i="2" s="1"/>
  <c r="N36" i="3" l="1"/>
  <c r="J35" i="3"/>
  <c r="I35" i="3"/>
  <c r="H35" i="3"/>
  <c r="G35" i="3"/>
  <c r="F35" i="3"/>
  <c r="E35" i="3"/>
  <c r="D35" i="3"/>
  <c r="C35" i="3"/>
  <c r="B35" i="3"/>
  <c r="E32" i="1"/>
  <c r="J32" i="1" s="1"/>
  <c r="M34" i="2"/>
  <c r="H32" i="1" l="1"/>
  <c r="I32" i="1"/>
  <c r="K35" i="3"/>
  <c r="F32" i="1"/>
  <c r="O35" i="3"/>
  <c r="L35" i="3"/>
  <c r="G32" i="1"/>
  <c r="N35" i="3" s="1"/>
  <c r="P35" i="3"/>
  <c r="J34" i="3"/>
  <c r="I34" i="3"/>
  <c r="H34" i="3"/>
  <c r="G34" i="3"/>
  <c r="F34" i="3"/>
  <c r="E34" i="3"/>
  <c r="D34" i="3"/>
  <c r="C34" i="3"/>
  <c r="B34" i="3"/>
  <c r="E31" i="1"/>
  <c r="L34" i="3" s="1"/>
  <c r="K33" i="2"/>
  <c r="M33" i="2" s="1"/>
  <c r="H31" i="1" l="1"/>
  <c r="O34" i="3" s="1"/>
  <c r="F31" i="1"/>
  <c r="M35" i="3"/>
  <c r="K34" i="3"/>
  <c r="I31" i="1"/>
  <c r="J31" i="1"/>
  <c r="G31" i="1"/>
  <c r="N34" i="3" s="1"/>
  <c r="N33" i="2"/>
  <c r="L33" i="2"/>
  <c r="E30" i="1"/>
  <c r="I30" i="1" s="1"/>
  <c r="J33" i="3"/>
  <c r="I33" i="3"/>
  <c r="H33" i="3"/>
  <c r="G33" i="3"/>
  <c r="F33" i="3"/>
  <c r="E33" i="3"/>
  <c r="D33" i="3"/>
  <c r="C33" i="3"/>
  <c r="B33" i="3"/>
  <c r="K32" i="2"/>
  <c r="N32" i="2" s="1"/>
  <c r="M34" i="3" l="1"/>
  <c r="P34" i="3"/>
  <c r="K33" i="3"/>
  <c r="J30" i="1"/>
  <c r="G30" i="1"/>
  <c r="F30" i="1"/>
  <c r="L33" i="3"/>
  <c r="H30" i="1"/>
  <c r="O33" i="3" s="1"/>
  <c r="P33" i="3"/>
  <c r="L32" i="2"/>
  <c r="M32" i="2"/>
  <c r="J32" i="3"/>
  <c r="I32" i="3"/>
  <c r="H32" i="3"/>
  <c r="G32" i="3"/>
  <c r="F32" i="3"/>
  <c r="E32" i="3"/>
  <c r="D32" i="3"/>
  <c r="C32" i="3"/>
  <c r="B32" i="3"/>
  <c r="E29" i="1"/>
  <c r="H29" i="1" s="1"/>
  <c r="O32" i="3" s="1"/>
  <c r="K31" i="2"/>
  <c r="M31" i="2" s="1"/>
  <c r="F29" i="1" l="1"/>
  <c r="G29" i="1"/>
  <c r="M33" i="3"/>
  <c r="N33" i="3"/>
  <c r="K32" i="3"/>
  <c r="I29" i="1"/>
  <c r="N32" i="3"/>
  <c r="L32" i="3"/>
  <c r="J29" i="1"/>
  <c r="N31" i="2"/>
  <c r="L31" i="2"/>
  <c r="M32" i="3" s="1"/>
  <c r="J31" i="3"/>
  <c r="I31" i="3"/>
  <c r="H31" i="3"/>
  <c r="G31" i="3"/>
  <c r="F31" i="3"/>
  <c r="E31" i="3"/>
  <c r="D31" i="3"/>
  <c r="C31" i="3"/>
  <c r="B31" i="3"/>
  <c r="E28" i="1"/>
  <c r="I28" i="1" s="1"/>
  <c r="K30" i="2"/>
  <c r="K31" i="3" s="1"/>
  <c r="F28" i="1" l="1"/>
  <c r="G28" i="1"/>
  <c r="P32" i="3"/>
  <c r="N30" i="2"/>
  <c r="P31" i="3" s="1"/>
  <c r="L31" i="3"/>
  <c r="H28" i="1"/>
  <c r="O31" i="3" s="1"/>
  <c r="J28" i="1"/>
  <c r="L30" i="2"/>
  <c r="M31" i="3" s="1"/>
  <c r="M30" i="2"/>
  <c r="B30" i="3"/>
  <c r="N31" i="3" l="1"/>
  <c r="N29" i="2"/>
  <c r="J30" i="3" l="1"/>
  <c r="I30" i="3"/>
  <c r="H30" i="3"/>
  <c r="G30" i="3"/>
  <c r="F30" i="3"/>
  <c r="E30" i="3"/>
  <c r="D30" i="3"/>
  <c r="C30" i="3"/>
  <c r="E27" i="1"/>
  <c r="G27" i="1" s="1"/>
  <c r="K29" i="2"/>
  <c r="K30" i="3" s="1"/>
  <c r="F27" i="1" l="1"/>
  <c r="H27" i="1"/>
  <c r="O30" i="3" s="1"/>
  <c r="I27" i="1"/>
  <c r="L30" i="3"/>
  <c r="J27" i="1"/>
  <c r="L29" i="2"/>
  <c r="M30" i="3" s="1"/>
  <c r="M29" i="2"/>
  <c r="N30" i="3" s="1"/>
  <c r="N28" i="2"/>
  <c r="P30" i="3" l="1"/>
  <c r="J29" i="3"/>
  <c r="I29" i="3"/>
  <c r="H29" i="3"/>
  <c r="G29" i="3"/>
  <c r="F29" i="3"/>
  <c r="E29" i="3"/>
  <c r="D29" i="3"/>
  <c r="C29" i="3"/>
  <c r="B29" i="3"/>
  <c r="E26" i="1"/>
  <c r="F26" i="1" s="1"/>
  <c r="K28" i="2"/>
  <c r="G26" i="1" l="1"/>
  <c r="I26" i="1"/>
  <c r="H26" i="1"/>
  <c r="K29" i="3"/>
  <c r="P29" i="3"/>
  <c r="L29" i="3"/>
  <c r="J26" i="1"/>
  <c r="O29" i="3"/>
  <c r="M28" i="2"/>
  <c r="N29" i="3" s="1"/>
  <c r="L28" i="2"/>
  <c r="M29" i="3" s="1"/>
  <c r="J28" i="3"/>
  <c r="I28" i="3"/>
  <c r="H28" i="3"/>
  <c r="G28" i="3"/>
  <c r="F28" i="3"/>
  <c r="E28" i="3"/>
  <c r="D28" i="3"/>
  <c r="C28" i="3"/>
  <c r="B28" i="3"/>
  <c r="E25" i="1"/>
  <c r="L28" i="3" s="1"/>
  <c r="K27" i="2"/>
  <c r="N27" i="2" s="1"/>
  <c r="K28" i="3" l="1"/>
  <c r="F25" i="1"/>
  <c r="I25" i="1"/>
  <c r="P28" i="3" s="1"/>
  <c r="H25" i="1"/>
  <c r="O28" i="3" s="1"/>
  <c r="J25" i="1"/>
  <c r="G25" i="1"/>
  <c r="M27" i="2"/>
  <c r="L27" i="2"/>
  <c r="B27" i="3"/>
  <c r="A27" i="3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J27" i="3"/>
  <c r="I27" i="3"/>
  <c r="H27" i="3"/>
  <c r="G27" i="3"/>
  <c r="F27" i="3"/>
  <c r="E27" i="3"/>
  <c r="D27" i="3"/>
  <c r="C27" i="3"/>
  <c r="K26" i="2"/>
  <c r="L26" i="2" s="1"/>
  <c r="E24" i="1"/>
  <c r="I24" i="1" s="1"/>
  <c r="F24" i="1" l="1"/>
  <c r="G24" i="1"/>
  <c r="H24" i="1"/>
  <c r="N28" i="3"/>
  <c r="M28" i="3"/>
  <c r="O27" i="3"/>
  <c r="L27" i="3"/>
  <c r="K27" i="3"/>
  <c r="N26" i="2"/>
  <c r="M26" i="2"/>
  <c r="J24" i="1"/>
  <c r="M27" i="3"/>
  <c r="G23" i="1"/>
  <c r="F23" i="1"/>
  <c r="L26" i="3"/>
  <c r="J26" i="3"/>
  <c r="I26" i="3"/>
  <c r="H26" i="3"/>
  <c r="G26" i="3"/>
  <c r="F26" i="3"/>
  <c r="E26" i="3"/>
  <c r="D26" i="3"/>
  <c r="C26" i="3"/>
  <c r="B26" i="3"/>
  <c r="E23" i="1"/>
  <c r="J23" i="1" s="1"/>
  <c r="K25" i="2"/>
  <c r="L25" i="2" s="1"/>
  <c r="H23" i="1" l="1"/>
  <c r="O26" i="3" s="1"/>
  <c r="N27" i="3"/>
  <c r="P27" i="3"/>
  <c r="N25" i="2"/>
  <c r="K26" i="3"/>
  <c r="I23" i="1"/>
  <c r="M26" i="3"/>
  <c r="M25" i="2"/>
  <c r="N26" i="3" s="1"/>
  <c r="N24" i="2"/>
  <c r="P26" i="3" l="1"/>
  <c r="J25" i="3"/>
  <c r="I25" i="3"/>
  <c r="H25" i="3"/>
  <c r="G25" i="3"/>
  <c r="F25" i="3"/>
  <c r="E25" i="3"/>
  <c r="D25" i="3"/>
  <c r="C25" i="3"/>
  <c r="B25" i="3"/>
  <c r="E22" i="1"/>
  <c r="L25" i="3" s="1"/>
  <c r="K24" i="2"/>
  <c r="F22" i="1" l="1"/>
  <c r="H22" i="1"/>
  <c r="O25" i="3" s="1"/>
  <c r="I22" i="1"/>
  <c r="P25" i="3" s="1"/>
  <c r="K25" i="3"/>
  <c r="J22" i="1"/>
  <c r="G22" i="1"/>
  <c r="L24" i="2"/>
  <c r="M25" i="3" s="1"/>
  <c r="M24" i="2"/>
  <c r="J24" i="3"/>
  <c r="N25" i="3" l="1"/>
  <c r="I24" i="3"/>
  <c r="H24" i="3"/>
  <c r="G24" i="3"/>
  <c r="F24" i="3"/>
  <c r="E24" i="3"/>
  <c r="D24" i="3"/>
  <c r="C24" i="3"/>
  <c r="B24" i="3"/>
  <c r="E21" i="1"/>
  <c r="G21" i="1" s="1"/>
  <c r="K23" i="2"/>
  <c r="L23" i="2" s="1"/>
  <c r="K24" i="3" l="1"/>
  <c r="L24" i="3"/>
  <c r="I21" i="1"/>
  <c r="F21" i="1"/>
  <c r="M24" i="3" s="1"/>
  <c r="H21" i="1"/>
  <c r="O24" i="3" s="1"/>
  <c r="J21" i="1"/>
  <c r="M23" i="2"/>
  <c r="N24" i="3" s="1"/>
  <c r="N23" i="2"/>
  <c r="J23" i="3"/>
  <c r="I23" i="3"/>
  <c r="H23" i="3"/>
  <c r="G23" i="3"/>
  <c r="F23" i="3"/>
  <c r="E23" i="3"/>
  <c r="D23" i="3"/>
  <c r="C23" i="3"/>
  <c r="B23" i="3"/>
  <c r="E20" i="1"/>
  <c r="H20" i="1" s="1"/>
  <c r="O23" i="3" s="1"/>
  <c r="K22" i="2"/>
  <c r="L22" i="2" s="1"/>
  <c r="G20" i="1" l="1"/>
  <c r="F20" i="1"/>
  <c r="I20" i="1"/>
  <c r="P24" i="3"/>
  <c r="M23" i="3"/>
  <c r="K23" i="3"/>
  <c r="L23" i="3"/>
  <c r="J20" i="1"/>
  <c r="N22" i="2"/>
  <c r="M22" i="2"/>
  <c r="N23" i="3" s="1"/>
  <c r="P23" i="3" l="1"/>
  <c r="J22" i="3"/>
  <c r="I22" i="3"/>
  <c r="H22" i="3"/>
  <c r="G22" i="3"/>
  <c r="F22" i="3"/>
  <c r="E22" i="3"/>
  <c r="D22" i="3"/>
  <c r="C22" i="3"/>
  <c r="B22" i="3"/>
  <c r="E19" i="1"/>
  <c r="K21" i="2"/>
  <c r="L21" i="2" s="1"/>
  <c r="J19" i="1" l="1"/>
  <c r="I19" i="1"/>
  <c r="H19" i="1"/>
  <c r="O22" i="3" s="1"/>
  <c r="F19" i="1"/>
  <c r="M22" i="3" s="1"/>
  <c r="K22" i="3"/>
  <c r="G19" i="1"/>
  <c r="L22" i="3"/>
  <c r="M21" i="2"/>
  <c r="N21" i="2"/>
  <c r="P22" i="3" s="1"/>
  <c r="J21" i="3"/>
  <c r="I21" i="3"/>
  <c r="H21" i="3"/>
  <c r="G21" i="3"/>
  <c r="F21" i="3"/>
  <c r="E21" i="3"/>
  <c r="D21" i="3"/>
  <c r="C21" i="3"/>
  <c r="B21" i="3"/>
  <c r="E18" i="1"/>
  <c r="J18" i="1" s="1"/>
  <c r="G18" i="1" l="1"/>
  <c r="F18" i="1"/>
  <c r="N22" i="3"/>
  <c r="H18" i="1"/>
  <c r="O21" i="3" s="1"/>
  <c r="L21" i="3"/>
  <c r="I18" i="1"/>
  <c r="K20" i="2"/>
  <c r="L20" i="2" l="1"/>
  <c r="M21" i="3" s="1"/>
  <c r="K21" i="3"/>
  <c r="M20" i="2"/>
  <c r="N21" i="3" s="1"/>
  <c r="N20" i="2"/>
  <c r="P21" i="3" s="1"/>
  <c r="L20" i="3"/>
  <c r="J20" i="3"/>
  <c r="I20" i="3"/>
  <c r="H20" i="3"/>
  <c r="G20" i="3"/>
  <c r="F20" i="3"/>
  <c r="E20" i="3"/>
  <c r="D20" i="3"/>
  <c r="C20" i="3"/>
  <c r="B20" i="3"/>
  <c r="H17" i="1"/>
  <c r="O20" i="3" s="1"/>
  <c r="E17" i="1"/>
  <c r="I17" i="1" s="1"/>
  <c r="K19" i="2"/>
  <c r="M19" i="2" s="1"/>
  <c r="F17" i="1" l="1"/>
  <c r="G17" i="1"/>
  <c r="N20" i="3" s="1"/>
  <c r="K20" i="3"/>
  <c r="J17" i="1"/>
  <c r="N19" i="2"/>
  <c r="P20" i="3" s="1"/>
  <c r="L19" i="2"/>
  <c r="M20" i="3" s="1"/>
  <c r="J19" i="3"/>
  <c r="I19" i="3"/>
  <c r="H19" i="3"/>
  <c r="G19" i="3"/>
  <c r="F19" i="3"/>
  <c r="E19" i="3"/>
  <c r="D19" i="3"/>
  <c r="C19" i="3"/>
  <c r="B19" i="3"/>
  <c r="E16" i="1"/>
  <c r="J16" i="1" s="1"/>
  <c r="K18" i="2"/>
  <c r="N18" i="2" s="1"/>
  <c r="G16" i="1" l="1"/>
  <c r="F16" i="1"/>
  <c r="H16" i="1"/>
  <c r="O19" i="3" s="1"/>
  <c r="L19" i="3"/>
  <c r="K19" i="3"/>
  <c r="I16" i="1"/>
  <c r="P19" i="3" s="1"/>
  <c r="L18" i="2"/>
  <c r="M19" i="3" s="1"/>
  <c r="M18" i="2"/>
  <c r="N19" i="3" l="1"/>
  <c r="J18" i="3"/>
  <c r="I18" i="3"/>
  <c r="H18" i="3"/>
  <c r="G18" i="3"/>
  <c r="F18" i="3"/>
  <c r="E18" i="3"/>
  <c r="D18" i="3"/>
  <c r="C18" i="3"/>
  <c r="B18" i="3"/>
  <c r="E15" i="1"/>
  <c r="K17" i="2"/>
  <c r="L17" i="2" s="1"/>
  <c r="J15" i="1" l="1"/>
  <c r="G15" i="1"/>
  <c r="F15" i="1"/>
  <c r="N17" i="2"/>
  <c r="K18" i="3"/>
  <c r="I15" i="1"/>
  <c r="L18" i="3"/>
  <c r="M18" i="3"/>
  <c r="H15" i="1"/>
  <c r="O18" i="3" s="1"/>
  <c r="M17" i="2"/>
  <c r="N18" i="3" s="1"/>
  <c r="C9" i="3"/>
  <c r="D9" i="3"/>
  <c r="E9" i="3"/>
  <c r="F9" i="3"/>
  <c r="G9" i="3"/>
  <c r="H9" i="3"/>
  <c r="I9" i="3"/>
  <c r="J9" i="3"/>
  <c r="C10" i="3"/>
  <c r="D10" i="3"/>
  <c r="E10" i="3"/>
  <c r="F10" i="3"/>
  <c r="G10" i="3"/>
  <c r="H10" i="3"/>
  <c r="I10" i="3"/>
  <c r="J10" i="3"/>
  <c r="C11" i="3"/>
  <c r="D11" i="3"/>
  <c r="E11" i="3"/>
  <c r="F11" i="3"/>
  <c r="G11" i="3"/>
  <c r="H11" i="3"/>
  <c r="I11" i="3"/>
  <c r="J11" i="3"/>
  <c r="C12" i="3"/>
  <c r="D12" i="3"/>
  <c r="E12" i="3"/>
  <c r="F12" i="3"/>
  <c r="G12" i="3"/>
  <c r="H12" i="3"/>
  <c r="I12" i="3"/>
  <c r="J12" i="3"/>
  <c r="C13" i="3"/>
  <c r="D13" i="3"/>
  <c r="E13" i="3"/>
  <c r="F13" i="3"/>
  <c r="G13" i="3"/>
  <c r="H13" i="3"/>
  <c r="I13" i="3"/>
  <c r="J13" i="3"/>
  <c r="C14" i="3"/>
  <c r="D14" i="3"/>
  <c r="E14" i="3"/>
  <c r="F14" i="3"/>
  <c r="G14" i="3"/>
  <c r="H14" i="3"/>
  <c r="I14" i="3"/>
  <c r="J14" i="3"/>
  <c r="C15" i="3"/>
  <c r="D15" i="3"/>
  <c r="E15" i="3"/>
  <c r="F15" i="3"/>
  <c r="G15" i="3"/>
  <c r="H15" i="3"/>
  <c r="I15" i="3"/>
  <c r="J15" i="3"/>
  <c r="C16" i="3"/>
  <c r="D16" i="3"/>
  <c r="E16" i="3"/>
  <c r="F16" i="3"/>
  <c r="G16" i="3"/>
  <c r="H16" i="3"/>
  <c r="I16" i="3"/>
  <c r="J16" i="3"/>
  <c r="C17" i="3"/>
  <c r="D17" i="3"/>
  <c r="E17" i="3"/>
  <c r="F17" i="3"/>
  <c r="G17" i="3"/>
  <c r="H17" i="3"/>
  <c r="I17" i="3"/>
  <c r="J17" i="3"/>
  <c r="B17" i="3"/>
  <c r="B16" i="3"/>
  <c r="B15" i="3"/>
  <c r="B14" i="3"/>
  <c r="B13" i="3"/>
  <c r="B12" i="3"/>
  <c r="B11" i="3"/>
  <c r="B10" i="3"/>
  <c r="B9" i="3"/>
  <c r="P18" i="3" l="1"/>
  <c r="N16" i="2"/>
  <c r="E14" i="1" l="1"/>
  <c r="F14" i="1" s="1"/>
  <c r="K16" i="2"/>
  <c r="M16" i="2" s="1"/>
  <c r="G14" i="1" l="1"/>
  <c r="L17" i="3"/>
  <c r="N17" i="3"/>
  <c r="I14" i="1"/>
  <c r="P17" i="3" s="1"/>
  <c r="K17" i="3"/>
  <c r="J14" i="1"/>
  <c r="H14" i="1"/>
  <c r="O17" i="3" s="1"/>
  <c r="L16" i="2"/>
  <c r="M17" i="3" s="1"/>
  <c r="E13" i="1" l="1"/>
  <c r="K15" i="2"/>
  <c r="K16" i="3" s="1"/>
  <c r="J13" i="1" l="1"/>
  <c r="I13" i="1"/>
  <c r="F13" i="1"/>
  <c r="N15" i="2"/>
  <c r="P16" i="3" s="1"/>
  <c r="G13" i="1"/>
  <c r="H13" i="1"/>
  <c r="O16" i="3" s="1"/>
  <c r="L16" i="3"/>
  <c r="L15" i="2"/>
  <c r="M16" i="3" s="1"/>
  <c r="M15" i="2"/>
  <c r="N14" i="2"/>
  <c r="N16" i="3" l="1"/>
  <c r="E12" i="1" l="1"/>
  <c r="K14" i="2"/>
  <c r="M14" i="2" s="1"/>
  <c r="I12" i="1" l="1"/>
  <c r="H12" i="1"/>
  <c r="F12" i="1"/>
  <c r="G12" i="1"/>
  <c r="N15" i="3" s="1"/>
  <c r="K15" i="3"/>
  <c r="P15" i="3"/>
  <c r="L15" i="3"/>
  <c r="J12" i="1"/>
  <c r="O15" i="3"/>
  <c r="L14" i="2"/>
  <c r="M15" i="3" s="1"/>
  <c r="N13" i="2"/>
  <c r="E11" i="1" l="1"/>
  <c r="J11" i="1" s="1"/>
  <c r="K13" i="2"/>
  <c r="K14" i="3" l="1"/>
  <c r="F11" i="1"/>
  <c r="I11" i="1"/>
  <c r="P14" i="3" s="1"/>
  <c r="L14" i="3"/>
  <c r="G11" i="1"/>
  <c r="H11" i="1"/>
  <c r="O14" i="3" s="1"/>
  <c r="M13" i="2"/>
  <c r="L13" i="2"/>
  <c r="I10" i="1"/>
  <c r="E10" i="1"/>
  <c r="H10" i="1" s="1"/>
  <c r="O13" i="3" s="1"/>
  <c r="K12" i="2"/>
  <c r="M12" i="2" s="1"/>
  <c r="F10" i="1" l="1"/>
  <c r="M14" i="3"/>
  <c r="N14" i="3"/>
  <c r="N12" i="2"/>
  <c r="P13" i="3" s="1"/>
  <c r="K13" i="3"/>
  <c r="G10" i="1"/>
  <c r="N13" i="3" s="1"/>
  <c r="L13" i="3"/>
  <c r="J10" i="1"/>
  <c r="L12" i="2"/>
  <c r="M13" i="3" s="1"/>
  <c r="N11" i="2"/>
  <c r="E9" i="1" l="1"/>
  <c r="L12" i="3" s="1"/>
  <c r="K11" i="2"/>
  <c r="L11" i="2" s="1"/>
  <c r="F9" i="1" l="1"/>
  <c r="G9" i="1"/>
  <c r="H9" i="1"/>
  <c r="O12" i="3" s="1"/>
  <c r="K12" i="3"/>
  <c r="M12" i="3"/>
  <c r="I9" i="1"/>
  <c r="J9" i="1"/>
  <c r="M11" i="2"/>
  <c r="N10" i="2"/>
  <c r="N12" i="3" l="1"/>
  <c r="P12" i="3"/>
  <c r="I8" i="1"/>
  <c r="H8" i="1"/>
  <c r="G8" i="1"/>
  <c r="F8" i="1"/>
  <c r="A11" i="3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E8" i="1"/>
  <c r="J8" i="1" s="1"/>
  <c r="A10" i="2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K10" i="2"/>
  <c r="K11" i="3" l="1"/>
  <c r="L11" i="3"/>
  <c r="P11" i="3"/>
  <c r="O11" i="3"/>
  <c r="L10" i="2"/>
  <c r="M11" i="3" s="1"/>
  <c r="M10" i="2"/>
  <c r="N11" i="3" s="1"/>
  <c r="E7" i="1" l="1"/>
  <c r="I7" i="1" s="1"/>
  <c r="K9" i="2"/>
  <c r="M9" i="2" s="1"/>
  <c r="F7" i="1" l="1"/>
  <c r="K10" i="3"/>
  <c r="N9" i="2"/>
  <c r="P10" i="3" s="1"/>
  <c r="L10" i="3"/>
  <c r="J7" i="1"/>
  <c r="H7" i="1"/>
  <c r="O10" i="3" s="1"/>
  <c r="G7" i="1"/>
  <c r="N10" i="3" s="1"/>
  <c r="L9" i="2"/>
  <c r="M10" i="3" s="1"/>
  <c r="N8" i="2"/>
  <c r="D62" i="2" l="1"/>
  <c r="D63" i="3" l="1"/>
  <c r="C63" i="3" l="1"/>
  <c r="E63" i="3"/>
  <c r="F63" i="3"/>
  <c r="G63" i="3"/>
  <c r="H63" i="3"/>
  <c r="I63" i="3"/>
  <c r="J63" i="3"/>
  <c r="B63" i="3"/>
  <c r="C62" i="2"/>
  <c r="E62" i="2"/>
  <c r="F62" i="2"/>
  <c r="G62" i="2"/>
  <c r="H62" i="2"/>
  <c r="I62" i="2"/>
  <c r="J62" i="2"/>
  <c r="B62" i="2"/>
  <c r="K60" i="1"/>
  <c r="C60" i="1"/>
  <c r="D60" i="1"/>
  <c r="B60" i="1"/>
  <c r="K8" i="2"/>
  <c r="K2" i="2"/>
  <c r="E6" i="1"/>
  <c r="N62" i="2" l="1"/>
  <c r="M8" i="2"/>
  <c r="I6" i="1"/>
  <c r="G6" i="1"/>
  <c r="G60" i="1" s="1"/>
  <c r="F6" i="1"/>
  <c r="I60" i="1"/>
  <c r="H6" i="1"/>
  <c r="F60" i="1"/>
  <c r="L8" i="2"/>
  <c r="J6" i="1"/>
  <c r="J60" i="1" s="1"/>
  <c r="K62" i="2"/>
  <c r="L9" i="3"/>
  <c r="L63" i="3" s="1"/>
  <c r="E60" i="1"/>
  <c r="K9" i="3"/>
  <c r="K63" i="3" s="1"/>
  <c r="P9" i="3" l="1"/>
  <c r="P63" i="3" s="1"/>
  <c r="O9" i="3"/>
  <c r="O63" i="3" s="1"/>
  <c r="H60" i="1"/>
  <c r="L62" i="2"/>
  <c r="M9" i="3"/>
  <c r="M63" i="3" s="1"/>
  <c r="N9" i="3"/>
  <c r="N63" i="3" s="1"/>
  <c r="M62" i="2"/>
</calcChain>
</file>

<file path=xl/sharedStrings.xml><?xml version="1.0" encoding="utf-8"?>
<sst xmlns="http://schemas.openxmlformats.org/spreadsheetml/2006/main" count="59" uniqueCount="39">
  <si>
    <t>Amount
Played</t>
  </si>
  <si>
    <t>Adjusted
Amount
Won</t>
  </si>
  <si>
    <t>Promo</t>
  </si>
  <si>
    <t>Gross
Terminal Revenue</t>
  </si>
  <si>
    <t>State
Share
36%</t>
  </si>
  <si>
    <t>Human
Resource
Benefit Fund
17%</t>
  </si>
  <si>
    <t>Capital
Reinvestment
4.7%</t>
  </si>
  <si>
    <t>Greenbrier
Share
42.3%</t>
  </si>
  <si>
    <t>Average
GTI / # Term</t>
  </si>
  <si>
    <t>Craps</t>
  </si>
  <si>
    <t>Mini Bac</t>
  </si>
  <si>
    <t>Poker</t>
  </si>
  <si>
    <t>Poker
Tournament</t>
  </si>
  <si>
    <t>Roulette</t>
  </si>
  <si>
    <t>Single
Roulette</t>
  </si>
  <si>
    <t>Three Card
Poker</t>
  </si>
  <si>
    <t>Gross
Receipts</t>
  </si>
  <si>
    <t>State
Share
30%</t>
  </si>
  <si>
    <t>Human
Resource
Benefit Fund
5%</t>
  </si>
  <si>
    <t>Greenbrier
Share
65%</t>
  </si>
  <si>
    <t>State
Share</t>
  </si>
  <si>
    <t>Human
Resource
Benefit Fund</t>
  </si>
  <si>
    <t>Greenbrier
Share</t>
  </si>
  <si>
    <t>Capital
Reinvestment</t>
  </si>
  <si>
    <t>WEEKLY GREENBRIER HISTORIC RESORT REVENUE SUMMARY</t>
  </si>
  <si>
    <t>Blackjack</t>
  </si>
  <si>
    <t>Table Games Gross
Receipts</t>
  </si>
  <si>
    <t>Video Gross
Terminal
Revenue</t>
  </si>
  <si>
    <t>Lucky 21 Bac</t>
  </si>
  <si>
    <t>FISCAL YEAR 2022</t>
  </si>
  <si>
    <t>7/3/2021 *</t>
  </si>
  <si>
    <t xml:space="preserve">  *  Represents 3 days to start the fiscal year.</t>
  </si>
  <si>
    <t>FY2021</t>
  </si>
  <si>
    <t>WEST VIRGINIA LOTTERY</t>
  </si>
  <si>
    <t>FOR THE FISCAL YEAR ENDING JUNE 30, 2022</t>
  </si>
  <si>
    <t>6/30/2022 **</t>
  </si>
  <si>
    <t xml:space="preserve">  **  Represents 5 days to end the fiscal year.</t>
  </si>
  <si>
    <t xml:space="preserve">  ***  Represents an average of the number of machines in use for the week, averaged for the fiscal year.</t>
  </si>
  <si>
    <t>Number
Terminals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</si>
</sst>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0_);\(0\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Arial"/>
      <family val="2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/>
    </xf>
    <xf numFmtId="164" fontId="0" fillId="0" borderId="0" xfId="0" applyNumberFormat="1" applyFont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0" fillId="0" borderId="0" xfId="0" applyFont="1" applyBorder="1" applyAlignment="1">
      <alignment horizontal="center"/>
    </xf>
    <xf numFmtId="44" fontId="0" fillId="0" borderId="0" xfId="1" applyFont="1"/>
    <xf numFmtId="44" fontId="0" fillId="0" borderId="2" xfId="0" applyNumberFormat="1" applyFont="1" applyBorder="1"/>
    <xf numFmtId="164" fontId="0" fillId="0" borderId="0" xfId="0" applyNumberFormat="1" applyFont="1" applyBorder="1" applyAlignment="1">
      <alignment horizontal="center"/>
    </xf>
    <xf numFmtId="14" fontId="0" fillId="0" borderId="0" xfId="1" applyNumberFormat="1" applyFont="1" applyAlignment="1">
      <alignment horizontal="left"/>
    </xf>
    <xf numFmtId="44" fontId="0" fillId="0" borderId="0" xfId="1" applyFont="1" applyAlignment="1">
      <alignment horizontal="center"/>
    </xf>
    <xf numFmtId="164" fontId="0" fillId="0" borderId="0" xfId="0" applyNumberFormat="1" applyFont="1" applyAlignment="1">
      <alignment horizontal="center"/>
    </xf>
    <xf numFmtId="44" fontId="0" fillId="0" borderId="2" xfId="1" applyFont="1" applyBorder="1" applyAlignment="1">
      <alignment horizontal="center"/>
    </xf>
    <xf numFmtId="164" fontId="0" fillId="0" borderId="2" xfId="0" applyNumberFormat="1" applyFont="1" applyBorder="1" applyAlignment="1">
      <alignment horizontal="center" vertical="center"/>
    </xf>
    <xf numFmtId="44" fontId="0" fillId="0" borderId="0" xfId="0" applyNumberFormat="1" applyFont="1"/>
    <xf numFmtId="0" fontId="0" fillId="0" borderId="0" xfId="0" applyFont="1" applyAlignment="1">
      <alignment horizontal="center"/>
    </xf>
    <xf numFmtId="0" fontId="5" fillId="0" borderId="0" xfId="2" applyFont="1" applyAlignment="1">
      <alignment horizontal="left"/>
    </xf>
    <xf numFmtId="0" fontId="0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/>
    </xf>
  </cellXfs>
  <cellStyles count="4">
    <cellStyle name="Currency" xfId="1" builtinId="4"/>
    <cellStyle name="Currency 2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6"/>
  <sheetViews>
    <sheetView tabSelected="1" zoomScaleNormal="100" workbookViewId="0">
      <pane ySplit="7" topLeftCell="A36" activePane="bottomLeft" state="frozen"/>
      <selection pane="bottomLeft" activeCell="A63" sqref="A63"/>
    </sheetView>
  </sheetViews>
  <sheetFormatPr defaultRowHeight="15" customHeight="1" x14ac:dyDescent="0.25"/>
  <cols>
    <col min="1" max="1" width="12.7109375" style="1" customWidth="1"/>
    <col min="2" max="2" width="15.140625" style="1" bestFit="1" customWidth="1"/>
    <col min="3" max="3" width="13.42578125" style="1" bestFit="1" customWidth="1"/>
    <col min="4" max="4" width="13.42578125" style="1" hidden="1" customWidth="1"/>
    <col min="5" max="5" width="13.42578125" style="1" bestFit="1" customWidth="1"/>
    <col min="6" max="7" width="11.7109375" style="1" customWidth="1"/>
    <col min="8" max="10" width="13.42578125" style="1" bestFit="1" customWidth="1"/>
    <col min="11" max="13" width="15.140625" style="1" bestFit="1" customWidth="1"/>
    <col min="14" max="14" width="14.28515625" style="1" bestFit="1" customWidth="1"/>
    <col min="15" max="15" width="13.42578125" style="1" bestFit="1" customWidth="1"/>
    <col min="16" max="16" width="15.140625" style="1" bestFit="1" customWidth="1"/>
    <col min="17" max="17" width="10.7109375" style="1" customWidth="1"/>
    <col min="18" max="16384" width="9.140625" style="1"/>
  </cols>
  <sheetData>
    <row r="1" spans="1:16" ht="18.75" x14ac:dyDescent="0.3">
      <c r="A1" s="20" t="s">
        <v>33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</row>
    <row r="2" spans="1:16" ht="15" customHeight="1" x14ac:dyDescent="0.25">
      <c r="A2" s="21" t="s">
        <v>24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3" spans="1:16" ht="15" customHeight="1" x14ac:dyDescent="0.25">
      <c r="A3" s="21" t="s">
        <v>34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</row>
    <row r="4" spans="1:16" ht="15" customHeight="1" x14ac:dyDescent="0.25">
      <c r="A4" s="21" t="s">
        <v>29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</row>
    <row r="5" spans="1:16" ht="15" customHeight="1" x14ac:dyDescent="0.25">
      <c r="A5" s="2"/>
      <c r="B5" s="2"/>
      <c r="C5" s="2"/>
      <c r="D5" s="19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7" spans="1:16" s="2" customFormat="1" ht="45" x14ac:dyDescent="0.25">
      <c r="B7" s="3" t="s">
        <v>25</v>
      </c>
      <c r="C7" s="4" t="s">
        <v>9</v>
      </c>
      <c r="D7" s="4" t="s">
        <v>28</v>
      </c>
      <c r="E7" s="3" t="s">
        <v>10</v>
      </c>
      <c r="F7" s="3" t="s">
        <v>11</v>
      </c>
      <c r="G7" s="3" t="s">
        <v>12</v>
      </c>
      <c r="H7" s="3" t="s">
        <v>13</v>
      </c>
      <c r="I7" s="3" t="s">
        <v>14</v>
      </c>
      <c r="J7" s="3" t="s">
        <v>15</v>
      </c>
      <c r="K7" s="3" t="s">
        <v>26</v>
      </c>
      <c r="L7" s="3" t="s">
        <v>27</v>
      </c>
      <c r="M7" s="3" t="s">
        <v>20</v>
      </c>
      <c r="N7" s="3" t="s">
        <v>21</v>
      </c>
      <c r="O7" s="3" t="s">
        <v>23</v>
      </c>
      <c r="P7" s="3" t="s">
        <v>22</v>
      </c>
    </row>
    <row r="8" spans="1:16" ht="15" customHeight="1" x14ac:dyDescent="0.25">
      <c r="A8" s="11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16" ht="15" customHeight="1" x14ac:dyDescent="0.25">
      <c r="A9" s="11" t="s">
        <v>30</v>
      </c>
      <c r="B9" s="8">
        <f>'Table Games'!B8</f>
        <v>94097.5</v>
      </c>
      <c r="C9" s="8">
        <f>'Table Games'!C8</f>
        <v>7691</v>
      </c>
      <c r="D9" s="8">
        <f>'Table Games'!D8</f>
        <v>0</v>
      </c>
      <c r="E9" s="8">
        <f>'Table Games'!E8</f>
        <v>0</v>
      </c>
      <c r="F9" s="8">
        <f>'Table Games'!F8</f>
        <v>0</v>
      </c>
      <c r="G9" s="8">
        <f>'Table Games'!G8</f>
        <v>0</v>
      </c>
      <c r="H9" s="8">
        <f>'Table Games'!H8</f>
        <v>5799</v>
      </c>
      <c r="I9" s="8">
        <f>'Table Games'!I8</f>
        <v>0</v>
      </c>
      <c r="J9" s="8">
        <f>'Table Games'!J8</f>
        <v>5157</v>
      </c>
      <c r="K9" s="8">
        <f>'Table Games'!K8</f>
        <v>112744.5</v>
      </c>
      <c r="L9" s="8">
        <f>Video!E6</f>
        <v>56081</v>
      </c>
      <c r="M9" s="8">
        <f>'Table Games'!L8+Video!F6</f>
        <v>54012.509999999995</v>
      </c>
      <c r="N9" s="8">
        <f>'Table Games'!M8+Video!G6</f>
        <v>15171</v>
      </c>
      <c r="O9" s="8">
        <f>Video!H6</f>
        <v>2635.81</v>
      </c>
      <c r="P9" s="8">
        <f>'Table Games'!N8+Video!I6</f>
        <v>97006.18</v>
      </c>
    </row>
    <row r="10" spans="1:16" ht="15" customHeight="1" x14ac:dyDescent="0.25">
      <c r="A10" s="11">
        <v>44387</v>
      </c>
      <c r="B10" s="8">
        <f>'Table Games'!B9</f>
        <v>234953</v>
      </c>
      <c r="C10" s="8">
        <f>'Table Games'!C9</f>
        <v>128249</v>
      </c>
      <c r="D10" s="8">
        <f>'Table Games'!D9</f>
        <v>0</v>
      </c>
      <c r="E10" s="8">
        <f>'Table Games'!E9</f>
        <v>0</v>
      </c>
      <c r="F10" s="8">
        <f>'Table Games'!F9</f>
        <v>0</v>
      </c>
      <c r="G10" s="8">
        <f>'Table Games'!G9</f>
        <v>0</v>
      </c>
      <c r="H10" s="8">
        <f>'Table Games'!H9</f>
        <v>31399</v>
      </c>
      <c r="I10" s="8">
        <f>'Table Games'!I9</f>
        <v>0</v>
      </c>
      <c r="J10" s="8">
        <f>'Table Games'!J9</f>
        <v>17918</v>
      </c>
      <c r="K10" s="8">
        <f>'Table Games'!K9</f>
        <v>412519</v>
      </c>
      <c r="L10" s="8">
        <f>Video!E7</f>
        <v>151897.13999999966</v>
      </c>
      <c r="M10" s="8">
        <f>'Table Games'!L9+Video!F7</f>
        <v>178438.66</v>
      </c>
      <c r="N10" s="8">
        <f>'Table Games'!M9+Video!G7</f>
        <v>46448.46</v>
      </c>
      <c r="O10" s="8">
        <f>Video!H7</f>
        <v>7139.17</v>
      </c>
      <c r="P10" s="8">
        <f>'Table Games'!N9+Video!I7</f>
        <v>332389.84999999998</v>
      </c>
    </row>
    <row r="11" spans="1:16" ht="15" customHeight="1" x14ac:dyDescent="0.25">
      <c r="A11" s="11">
        <f t="shared" ref="A11:A25" si="0">A10+7</f>
        <v>44394</v>
      </c>
      <c r="B11" s="8">
        <f>'Table Games'!B10</f>
        <v>177906.5</v>
      </c>
      <c r="C11" s="8">
        <f>'Table Games'!C10</f>
        <v>8691</v>
      </c>
      <c r="D11" s="8">
        <f>'Table Games'!D10</f>
        <v>0</v>
      </c>
      <c r="E11" s="8">
        <f>'Table Games'!E10</f>
        <v>14830</v>
      </c>
      <c r="F11" s="8">
        <f>'Table Games'!F10</f>
        <v>0</v>
      </c>
      <c r="G11" s="8">
        <f>'Table Games'!G10</f>
        <v>0</v>
      </c>
      <c r="H11" s="8">
        <f>'Table Games'!H10</f>
        <v>26430</v>
      </c>
      <c r="I11" s="8">
        <f>'Table Games'!I10</f>
        <v>9057</v>
      </c>
      <c r="J11" s="8">
        <f>'Table Games'!J10</f>
        <v>3866</v>
      </c>
      <c r="K11" s="8">
        <f>'Table Games'!K10</f>
        <v>240780.5</v>
      </c>
      <c r="L11" s="8">
        <f>Video!E8</f>
        <v>150649.06000000006</v>
      </c>
      <c r="M11" s="8">
        <f>'Table Games'!L10+Video!F8</f>
        <v>126467.85</v>
      </c>
      <c r="N11" s="8">
        <f>'Table Games'!M10+Video!G8</f>
        <v>37649.360000000001</v>
      </c>
      <c r="O11" s="8">
        <f>Video!H8</f>
        <v>7080.49</v>
      </c>
      <c r="P11" s="8">
        <f>'Table Games'!N10+Video!I8</f>
        <v>220231.86</v>
      </c>
    </row>
    <row r="12" spans="1:16" ht="15" customHeight="1" x14ac:dyDescent="0.25">
      <c r="A12" s="11">
        <f t="shared" si="0"/>
        <v>44401</v>
      </c>
      <c r="B12" s="8">
        <f>'Table Games'!B11</f>
        <v>29716.5</v>
      </c>
      <c r="C12" s="8">
        <f>'Table Games'!C11</f>
        <v>18610</v>
      </c>
      <c r="D12" s="8">
        <f>'Table Games'!D11</f>
        <v>0</v>
      </c>
      <c r="E12" s="8">
        <f>'Table Games'!E11</f>
        <v>-920</v>
      </c>
      <c r="F12" s="8">
        <f>'Table Games'!F11</f>
        <v>0</v>
      </c>
      <c r="G12" s="8">
        <f>'Table Games'!G11</f>
        <v>0</v>
      </c>
      <c r="H12" s="8">
        <f>'Table Games'!H11</f>
        <v>19790</v>
      </c>
      <c r="I12" s="8">
        <f>'Table Games'!I11</f>
        <v>0</v>
      </c>
      <c r="J12" s="8">
        <f>'Table Games'!J11</f>
        <v>16063</v>
      </c>
      <c r="K12" s="8">
        <f>'Table Games'!K11</f>
        <v>83259.5</v>
      </c>
      <c r="L12" s="8">
        <f>Video!E9</f>
        <v>91661.37</v>
      </c>
      <c r="M12" s="8">
        <f>'Table Games'!L11+Video!F9</f>
        <v>57975.92</v>
      </c>
      <c r="N12" s="8">
        <f>'Table Games'!M11+Video!G9</f>
        <v>19745.43</v>
      </c>
      <c r="O12" s="8">
        <f>Video!H9</f>
        <v>4308.09</v>
      </c>
      <c r="P12" s="8">
        <f>'Table Games'!N11+Video!I9</f>
        <v>92891.43</v>
      </c>
    </row>
    <row r="13" spans="1:16" ht="15" customHeight="1" x14ac:dyDescent="0.25">
      <c r="A13" s="11">
        <f t="shared" si="0"/>
        <v>44408</v>
      </c>
      <c r="B13" s="8">
        <f>'Table Games'!B12</f>
        <v>217716</v>
      </c>
      <c r="C13" s="8">
        <f>'Table Games'!C12</f>
        <v>41261</v>
      </c>
      <c r="D13" s="8">
        <f>'Table Games'!D12</f>
        <v>0</v>
      </c>
      <c r="E13" s="8">
        <f>'Table Games'!E12</f>
        <v>1000</v>
      </c>
      <c r="F13" s="8">
        <f>'Table Games'!F12</f>
        <v>0</v>
      </c>
      <c r="G13" s="8">
        <f>'Table Games'!G12</f>
        <v>0</v>
      </c>
      <c r="H13" s="8">
        <f>'Table Games'!H12</f>
        <v>25210</v>
      </c>
      <c r="I13" s="8">
        <f>'Table Games'!I12</f>
        <v>2255</v>
      </c>
      <c r="J13" s="8">
        <f>'Table Games'!J12</f>
        <v>14073</v>
      </c>
      <c r="K13" s="8">
        <f>'Table Games'!K12</f>
        <v>301515</v>
      </c>
      <c r="L13" s="8">
        <f>Video!E10</f>
        <v>116728.75999999978</v>
      </c>
      <c r="M13" s="8">
        <f>'Table Games'!L12+Video!F10</f>
        <v>132476.84</v>
      </c>
      <c r="N13" s="8">
        <f>'Table Games'!M12+Video!G10</f>
        <v>34919.64</v>
      </c>
      <c r="O13" s="8">
        <f>Video!H10</f>
        <v>5486.25</v>
      </c>
      <c r="P13" s="8">
        <f>'Table Games'!N12+Video!I10</f>
        <v>245361.03</v>
      </c>
    </row>
    <row r="14" spans="1:16" ht="15" customHeight="1" x14ac:dyDescent="0.25">
      <c r="A14" s="11">
        <f t="shared" si="0"/>
        <v>44415</v>
      </c>
      <c r="B14" s="8">
        <f>'Table Games'!B13</f>
        <v>115008.5</v>
      </c>
      <c r="C14" s="8">
        <f>'Table Games'!C13</f>
        <v>-5842</v>
      </c>
      <c r="D14" s="8">
        <f>'Table Games'!D13</f>
        <v>0</v>
      </c>
      <c r="E14" s="8">
        <f>'Table Games'!E13</f>
        <v>0</v>
      </c>
      <c r="F14" s="8">
        <f>'Table Games'!F13</f>
        <v>0</v>
      </c>
      <c r="G14" s="8">
        <f>'Table Games'!G13</f>
        <v>0</v>
      </c>
      <c r="H14" s="8">
        <f>'Table Games'!H13</f>
        <v>11696</v>
      </c>
      <c r="I14" s="8">
        <f>'Table Games'!I13</f>
        <v>0</v>
      </c>
      <c r="J14" s="8">
        <f>'Table Games'!J13</f>
        <v>4992</v>
      </c>
      <c r="K14" s="8">
        <f>'Table Games'!K13</f>
        <v>125854.5</v>
      </c>
      <c r="L14" s="8">
        <f>Video!E11</f>
        <v>99762.300000000279</v>
      </c>
      <c r="M14" s="8">
        <f>'Table Games'!L13+Video!F11</f>
        <v>73670.78</v>
      </c>
      <c r="N14" s="8">
        <f>'Table Games'!M13+Video!G11</f>
        <v>23252.32</v>
      </c>
      <c r="O14" s="8">
        <f>Video!H11</f>
        <v>4688.83</v>
      </c>
      <c r="P14" s="8">
        <f>'Table Games'!N13+Video!I11</f>
        <v>124004.87</v>
      </c>
    </row>
    <row r="15" spans="1:16" ht="15" customHeight="1" x14ac:dyDescent="0.25">
      <c r="A15" s="11">
        <f t="shared" si="0"/>
        <v>44422</v>
      </c>
      <c r="B15" s="8">
        <f>'Table Games'!B14</f>
        <v>64094.5</v>
      </c>
      <c r="C15" s="8">
        <f>'Table Games'!C14</f>
        <v>19783</v>
      </c>
      <c r="D15" s="8">
        <f>'Table Games'!D14</f>
        <v>0</v>
      </c>
      <c r="E15" s="8">
        <f>'Table Games'!E14</f>
        <v>0</v>
      </c>
      <c r="F15" s="8">
        <f>'Table Games'!F14</f>
        <v>0</v>
      </c>
      <c r="G15" s="8">
        <f>'Table Games'!G14</f>
        <v>0</v>
      </c>
      <c r="H15" s="8">
        <f>'Table Games'!H14</f>
        <v>15133</v>
      </c>
      <c r="I15" s="8">
        <f>'Table Games'!I14</f>
        <v>-4840</v>
      </c>
      <c r="J15" s="8">
        <f>'Table Games'!J14</f>
        <v>14359</v>
      </c>
      <c r="K15" s="8">
        <f>'Table Games'!K14</f>
        <v>108529.5</v>
      </c>
      <c r="L15" s="8">
        <f>Video!E12</f>
        <v>79889.610000000102</v>
      </c>
      <c r="M15" s="8">
        <f>'Table Games'!L14+Video!F12</f>
        <v>61319.119999999995</v>
      </c>
      <c r="N15" s="8">
        <f>'Table Games'!M14+Video!G12</f>
        <v>19007.72</v>
      </c>
      <c r="O15" s="8">
        <f>Video!H12</f>
        <v>3754.7999999999997</v>
      </c>
      <c r="P15" s="8">
        <f>'Table Games'!N14+Video!I12</f>
        <v>104337.47</v>
      </c>
    </row>
    <row r="16" spans="1:16" ht="15" customHeight="1" x14ac:dyDescent="0.25">
      <c r="A16" s="11">
        <f t="shared" si="0"/>
        <v>44429</v>
      </c>
      <c r="B16" s="8">
        <f>'Table Games'!B15</f>
        <v>185049</v>
      </c>
      <c r="C16" s="8">
        <f>'Table Games'!C15</f>
        <v>-9826</v>
      </c>
      <c r="D16" s="8">
        <f>'Table Games'!D15</f>
        <v>0</v>
      </c>
      <c r="E16" s="8">
        <f>'Table Games'!E15</f>
        <v>0</v>
      </c>
      <c r="F16" s="8">
        <f>'Table Games'!F15</f>
        <v>0</v>
      </c>
      <c r="G16" s="8">
        <f>'Table Games'!G15</f>
        <v>0</v>
      </c>
      <c r="H16" s="8">
        <f>'Table Games'!H15</f>
        <v>31214</v>
      </c>
      <c r="I16" s="8">
        <f>'Table Games'!I15</f>
        <v>-15015</v>
      </c>
      <c r="J16" s="8">
        <f>'Table Games'!J15</f>
        <v>3096</v>
      </c>
      <c r="K16" s="8">
        <f>'Table Games'!K15</f>
        <v>194518</v>
      </c>
      <c r="L16" s="8">
        <f>Video!E13</f>
        <v>177658.95000000019</v>
      </c>
      <c r="M16" s="8">
        <f>'Table Games'!L15+Video!F13</f>
        <v>122312.63</v>
      </c>
      <c r="N16" s="8">
        <f>'Table Games'!M15+Video!G13</f>
        <v>39927.919999999998</v>
      </c>
      <c r="O16" s="8">
        <f>Video!H13</f>
        <v>8349.9699999999993</v>
      </c>
      <c r="P16" s="8">
        <f>'Table Games'!N15+Video!I13</f>
        <v>201586.43</v>
      </c>
    </row>
    <row r="17" spans="1:16" ht="15" customHeight="1" x14ac:dyDescent="0.25">
      <c r="A17" s="11">
        <f t="shared" si="0"/>
        <v>44436</v>
      </c>
      <c r="B17" s="8">
        <f>'Table Games'!B16</f>
        <v>48865.5</v>
      </c>
      <c r="C17" s="8">
        <f>'Table Games'!C16</f>
        <v>7681</v>
      </c>
      <c r="D17" s="8">
        <f>'Table Games'!D16</f>
        <v>0</v>
      </c>
      <c r="E17" s="8">
        <f>'Table Games'!E16</f>
        <v>0</v>
      </c>
      <c r="F17" s="8">
        <f>'Table Games'!F16</f>
        <v>0</v>
      </c>
      <c r="G17" s="8">
        <f>'Table Games'!G16</f>
        <v>0</v>
      </c>
      <c r="H17" s="8">
        <f>'Table Games'!H16</f>
        <v>26375</v>
      </c>
      <c r="I17" s="8">
        <f>'Table Games'!I16</f>
        <v>65775</v>
      </c>
      <c r="J17" s="8">
        <f>'Table Games'!J16</f>
        <v>316</v>
      </c>
      <c r="K17" s="8">
        <f>'Table Games'!K16</f>
        <v>149012.5</v>
      </c>
      <c r="L17" s="8">
        <f>Video!E14</f>
        <v>169265.35999999987</v>
      </c>
      <c r="M17" s="8">
        <f>'Table Games'!L16+Video!F14</f>
        <v>105639.28</v>
      </c>
      <c r="N17" s="8">
        <f>'Table Games'!M16+Video!G14</f>
        <v>36225.75</v>
      </c>
      <c r="O17" s="8">
        <f>Video!H14</f>
        <v>7955.47</v>
      </c>
      <c r="P17" s="8">
        <f>'Table Games'!N16+Video!I14</f>
        <v>168457.36000000002</v>
      </c>
    </row>
    <row r="18" spans="1:16" ht="15" customHeight="1" x14ac:dyDescent="0.25">
      <c r="A18" s="11">
        <f t="shared" si="0"/>
        <v>44443</v>
      </c>
      <c r="B18" s="8">
        <f>'Table Games'!B17</f>
        <v>-654</v>
      </c>
      <c r="C18" s="8">
        <f>'Table Games'!C17</f>
        <v>38979</v>
      </c>
      <c r="D18" s="8">
        <f>'Table Games'!D17</f>
        <v>0</v>
      </c>
      <c r="E18" s="8">
        <f>'Table Games'!E17</f>
        <v>0</v>
      </c>
      <c r="F18" s="8">
        <f>'Table Games'!F17</f>
        <v>0</v>
      </c>
      <c r="G18" s="8">
        <f>'Table Games'!G17</f>
        <v>0</v>
      </c>
      <c r="H18" s="8">
        <f>'Table Games'!H17</f>
        <v>-99470</v>
      </c>
      <c r="I18" s="8">
        <f>'Table Games'!I17</f>
        <v>0</v>
      </c>
      <c r="J18" s="8">
        <f>'Table Games'!J17</f>
        <v>1017</v>
      </c>
      <c r="K18" s="8">
        <f>'Table Games'!K17</f>
        <v>-60128</v>
      </c>
      <c r="L18" s="8">
        <f>Video!E15</f>
        <v>196112.12999999989</v>
      </c>
      <c r="M18" s="8">
        <f>'Table Games'!L17+Video!F15</f>
        <v>52561.96</v>
      </c>
      <c r="N18" s="8">
        <f>'Table Games'!M17+Video!G15</f>
        <v>30332.67</v>
      </c>
      <c r="O18" s="8">
        <f>Video!H15</f>
        <v>9217.27</v>
      </c>
      <c r="P18" s="8">
        <f>'Table Games'!N17+Video!I15</f>
        <v>43872.229999999996</v>
      </c>
    </row>
    <row r="19" spans="1:16" ht="15" customHeight="1" x14ac:dyDescent="0.25">
      <c r="A19" s="11">
        <f t="shared" si="0"/>
        <v>44450</v>
      </c>
      <c r="B19" s="8">
        <f>'Table Games'!B18</f>
        <v>-389.5</v>
      </c>
      <c r="C19" s="8">
        <f>'Table Games'!C18</f>
        <v>23849</v>
      </c>
      <c r="D19" s="8">
        <f>'Table Games'!D18</f>
        <v>0</v>
      </c>
      <c r="E19" s="8">
        <f>'Table Games'!E18</f>
        <v>3322.5</v>
      </c>
      <c r="F19" s="8">
        <f>'Table Games'!F18</f>
        <v>0</v>
      </c>
      <c r="G19" s="8">
        <f>'Table Games'!G18</f>
        <v>0</v>
      </c>
      <c r="H19" s="8">
        <f>'Table Games'!H18</f>
        <v>29823</v>
      </c>
      <c r="I19" s="8">
        <f>'Table Games'!I18</f>
        <v>0</v>
      </c>
      <c r="J19" s="8">
        <f>'Table Games'!J18</f>
        <v>11660</v>
      </c>
      <c r="K19" s="8">
        <f>'Table Games'!K18</f>
        <v>68265</v>
      </c>
      <c r="L19" s="8">
        <f>Video!E16</f>
        <v>-44413.620000000112</v>
      </c>
      <c r="M19" s="8">
        <f>'Table Games'!L18+Video!F16</f>
        <v>4490.6100000000006</v>
      </c>
      <c r="N19" s="8">
        <f>'Table Games'!M18+Video!G16</f>
        <v>-4137.07</v>
      </c>
      <c r="O19" s="8">
        <f>Video!H16</f>
        <v>-2087.4500000000003</v>
      </c>
      <c r="P19" s="8">
        <f>'Table Games'!N18+Video!I16</f>
        <v>25585.29</v>
      </c>
    </row>
    <row r="20" spans="1:16" ht="15" customHeight="1" x14ac:dyDescent="0.25">
      <c r="A20" s="11">
        <f t="shared" si="0"/>
        <v>44457</v>
      </c>
      <c r="B20" s="8">
        <f>'Table Games'!B19</f>
        <v>602904</v>
      </c>
      <c r="C20" s="8">
        <f>'Table Games'!C19</f>
        <v>41664</v>
      </c>
      <c r="D20" s="8">
        <f>'Table Games'!D19</f>
        <v>0</v>
      </c>
      <c r="E20" s="8">
        <f>'Table Games'!E19</f>
        <v>0</v>
      </c>
      <c r="F20" s="8">
        <f>'Table Games'!F19</f>
        <v>0</v>
      </c>
      <c r="G20" s="8">
        <f>'Table Games'!G19</f>
        <v>0</v>
      </c>
      <c r="H20" s="8">
        <f>'Table Games'!H19</f>
        <v>11164</v>
      </c>
      <c r="I20" s="8">
        <f>'Table Games'!I19</f>
        <v>34265</v>
      </c>
      <c r="J20" s="8">
        <f>'Table Games'!J19</f>
        <v>8141</v>
      </c>
      <c r="K20" s="8">
        <f>'Table Games'!K19</f>
        <v>698138</v>
      </c>
      <c r="L20" s="8">
        <f>Video!E17</f>
        <v>105682.90999999992</v>
      </c>
      <c r="M20" s="8">
        <f>'Table Games'!L19+Video!F17</f>
        <v>247487.27</v>
      </c>
      <c r="N20" s="8">
        <f>'Table Games'!M19+Video!G17</f>
        <v>52872.98</v>
      </c>
      <c r="O20" s="8">
        <f>Video!H17</f>
        <v>4967.09</v>
      </c>
      <c r="P20" s="8">
        <f>'Table Games'!N19+Video!I17</f>
        <v>498493.57</v>
      </c>
    </row>
    <row r="21" spans="1:16" ht="15" customHeight="1" x14ac:dyDescent="0.25">
      <c r="A21" s="11">
        <f t="shared" si="0"/>
        <v>44464</v>
      </c>
      <c r="B21" s="8">
        <f>'Table Games'!B20</f>
        <v>104226.5</v>
      </c>
      <c r="C21" s="8">
        <f>'Table Games'!C20</f>
        <v>-2013</v>
      </c>
      <c r="D21" s="8">
        <f>'Table Games'!D20</f>
        <v>0</v>
      </c>
      <c r="E21" s="8">
        <f>'Table Games'!E20</f>
        <v>-342.5</v>
      </c>
      <c r="F21" s="8">
        <f>'Table Games'!F20</f>
        <v>0</v>
      </c>
      <c r="G21" s="8">
        <f>'Table Games'!G20</f>
        <v>0</v>
      </c>
      <c r="H21" s="8">
        <f>'Table Games'!H20</f>
        <v>44209</v>
      </c>
      <c r="I21" s="8">
        <f>'Table Games'!I20</f>
        <v>0</v>
      </c>
      <c r="J21" s="8">
        <f>'Table Games'!J20</f>
        <v>-3296</v>
      </c>
      <c r="K21" s="8">
        <f>'Table Games'!K20</f>
        <v>142784</v>
      </c>
      <c r="L21" s="8">
        <f>Video!E18</f>
        <v>33948.349999999977</v>
      </c>
      <c r="M21" s="8">
        <f>'Table Games'!L20+Video!F18</f>
        <v>55056.619999999995</v>
      </c>
      <c r="N21" s="8">
        <f>'Table Games'!M20+Video!G18</f>
        <v>12910.41</v>
      </c>
      <c r="O21" s="8">
        <f>Video!H18</f>
        <v>1595.57</v>
      </c>
      <c r="P21" s="8">
        <f>'Table Games'!N20+Video!I18</f>
        <v>107169.75</v>
      </c>
    </row>
    <row r="22" spans="1:16" ht="15" customHeight="1" x14ac:dyDescent="0.25">
      <c r="A22" s="11">
        <f t="shared" si="0"/>
        <v>44471</v>
      </c>
      <c r="B22" s="8">
        <f>'Table Games'!B21</f>
        <v>55995</v>
      </c>
      <c r="C22" s="8">
        <f>'Table Games'!C21</f>
        <v>-36896</v>
      </c>
      <c r="D22" s="8">
        <f>'Table Games'!D21</f>
        <v>0</v>
      </c>
      <c r="E22" s="8">
        <f>'Table Games'!E21</f>
        <v>0</v>
      </c>
      <c r="F22" s="8">
        <f>'Table Games'!F21</f>
        <v>0</v>
      </c>
      <c r="G22" s="8">
        <f>'Table Games'!G21</f>
        <v>0</v>
      </c>
      <c r="H22" s="8">
        <f>'Table Games'!H21</f>
        <v>33592</v>
      </c>
      <c r="I22" s="8">
        <f>'Table Games'!I21</f>
        <v>0</v>
      </c>
      <c r="J22" s="8">
        <f>'Table Games'!J21</f>
        <v>30992</v>
      </c>
      <c r="K22" s="8">
        <f>'Table Games'!K21</f>
        <v>83683</v>
      </c>
      <c r="L22" s="8">
        <f>Video!E19</f>
        <v>66714.15000000014</v>
      </c>
      <c r="M22" s="8">
        <f>'Table Games'!L21+Video!F19</f>
        <v>49122</v>
      </c>
      <c r="N22" s="8">
        <f>'Table Games'!M21+Video!G19</f>
        <v>15525.56</v>
      </c>
      <c r="O22" s="8">
        <f>Video!H19</f>
        <v>3135.56</v>
      </c>
      <c r="P22" s="8">
        <f>'Table Games'!N21+Video!I19</f>
        <v>82614.03</v>
      </c>
    </row>
    <row r="23" spans="1:16" ht="15" customHeight="1" x14ac:dyDescent="0.25">
      <c r="A23" s="11">
        <f t="shared" si="0"/>
        <v>44478</v>
      </c>
      <c r="B23" s="8">
        <f>'Table Games'!B22</f>
        <v>135228</v>
      </c>
      <c r="C23" s="8">
        <f>'Table Games'!C22</f>
        <v>10353</v>
      </c>
      <c r="D23" s="8">
        <f>'Table Games'!D22</f>
        <v>0</v>
      </c>
      <c r="E23" s="8">
        <f>'Table Games'!E22</f>
        <v>0</v>
      </c>
      <c r="F23" s="8">
        <f>'Table Games'!F22</f>
        <v>0</v>
      </c>
      <c r="G23" s="8">
        <f>'Table Games'!G22</f>
        <v>0</v>
      </c>
      <c r="H23" s="8">
        <f>'Table Games'!H22</f>
        <v>13571</v>
      </c>
      <c r="I23" s="8">
        <f>'Table Games'!I22</f>
        <v>0</v>
      </c>
      <c r="J23" s="8">
        <f>'Table Games'!J22</f>
        <v>406</v>
      </c>
      <c r="K23" s="8">
        <f>'Table Games'!K22</f>
        <v>159558</v>
      </c>
      <c r="L23" s="8">
        <f>Video!E20</f>
        <v>163073.3600000001</v>
      </c>
      <c r="M23" s="8">
        <f>'Table Games'!L22+Video!F20</f>
        <v>106573.81</v>
      </c>
      <c r="N23" s="8">
        <f>'Table Games'!M22+Video!G20</f>
        <v>35700.36</v>
      </c>
      <c r="O23" s="8">
        <f>Video!H20</f>
        <v>7664.45</v>
      </c>
      <c r="P23" s="8">
        <f>'Table Games'!N22+Video!I20</f>
        <v>172692.74</v>
      </c>
    </row>
    <row r="24" spans="1:16" ht="15" customHeight="1" x14ac:dyDescent="0.25">
      <c r="A24" s="11">
        <f t="shared" si="0"/>
        <v>44485</v>
      </c>
      <c r="B24" s="8">
        <f>'Table Games'!B23</f>
        <v>-33971</v>
      </c>
      <c r="C24" s="8">
        <f>'Table Games'!C23</f>
        <v>11783</v>
      </c>
      <c r="D24" s="8">
        <f>'Table Games'!D23</f>
        <v>0</v>
      </c>
      <c r="E24" s="8">
        <f>'Table Games'!E23</f>
        <v>0</v>
      </c>
      <c r="F24" s="8">
        <f>'Table Games'!F23</f>
        <v>0</v>
      </c>
      <c r="G24" s="8">
        <f>'Table Games'!G23</f>
        <v>0</v>
      </c>
      <c r="H24" s="8">
        <f>'Table Games'!H23</f>
        <v>113757</v>
      </c>
      <c r="I24" s="8">
        <f>'Table Games'!I23</f>
        <v>0</v>
      </c>
      <c r="J24" s="8">
        <f>'Table Games'!J23</f>
        <v>3030</v>
      </c>
      <c r="K24" s="8">
        <f>'Table Games'!K23</f>
        <v>94599</v>
      </c>
      <c r="L24" s="8">
        <f>Video!E21</f>
        <v>59281.5</v>
      </c>
      <c r="M24" s="8">
        <f>'Table Games'!L23+Video!F21</f>
        <v>49721.04</v>
      </c>
      <c r="N24" s="8">
        <f>'Table Games'!M23+Video!G21</f>
        <v>14807.810000000001</v>
      </c>
      <c r="O24" s="8">
        <f>Video!H21</f>
        <v>2786.23</v>
      </c>
      <c r="P24" s="8">
        <f>'Table Games'!N23+Video!I21</f>
        <v>86565.42</v>
      </c>
    </row>
    <row r="25" spans="1:16" ht="15" customHeight="1" x14ac:dyDescent="0.25">
      <c r="A25" s="11">
        <f t="shared" si="0"/>
        <v>44492</v>
      </c>
      <c r="B25" s="8">
        <f>'Table Games'!B24</f>
        <v>36446.5</v>
      </c>
      <c r="C25" s="8">
        <f>'Table Games'!C24</f>
        <v>-20576</v>
      </c>
      <c r="D25" s="8">
        <f>'Table Games'!D24</f>
        <v>0</v>
      </c>
      <c r="E25" s="8">
        <f>'Table Games'!E24</f>
        <v>0</v>
      </c>
      <c r="F25" s="8">
        <f>'Table Games'!F24</f>
        <v>289</v>
      </c>
      <c r="G25" s="8">
        <f>'Table Games'!G24</f>
        <v>0</v>
      </c>
      <c r="H25" s="8">
        <f>'Table Games'!H24</f>
        <v>21250</v>
      </c>
      <c r="I25" s="8">
        <f>'Table Games'!I24</f>
        <v>25275</v>
      </c>
      <c r="J25" s="8">
        <f>'Table Games'!J24</f>
        <v>3467</v>
      </c>
      <c r="K25" s="8">
        <f>'Table Games'!K24</f>
        <v>66151.5</v>
      </c>
      <c r="L25" s="8">
        <f>Video!E22</f>
        <v>122020.43000000017</v>
      </c>
      <c r="M25" s="8">
        <f>'Table Games'!L24+Video!F22</f>
        <v>63772.81</v>
      </c>
      <c r="N25" s="8">
        <f>'Table Games'!M24+Video!G22</f>
        <v>24051.050000000003</v>
      </c>
      <c r="O25" s="8">
        <f>Video!H22</f>
        <v>5734.95</v>
      </c>
      <c r="P25" s="8">
        <f>'Table Games'!N24+Video!I22</f>
        <v>94613.119999999995</v>
      </c>
    </row>
    <row r="26" spans="1:16" ht="15" customHeight="1" x14ac:dyDescent="0.25">
      <c r="A26" s="11">
        <v>44499</v>
      </c>
      <c r="B26" s="8">
        <f>'Table Games'!B25</f>
        <v>87884</v>
      </c>
      <c r="C26" s="8">
        <f>'Table Games'!C25</f>
        <v>26008</v>
      </c>
      <c r="D26" s="8">
        <f>'Table Games'!D25</f>
        <v>0</v>
      </c>
      <c r="E26" s="8">
        <f>'Table Games'!E25</f>
        <v>0</v>
      </c>
      <c r="F26" s="8">
        <f>'Table Games'!F25</f>
        <v>0</v>
      </c>
      <c r="G26" s="8">
        <f>'Table Games'!G25</f>
        <v>0</v>
      </c>
      <c r="H26" s="8">
        <f>'Table Games'!H25</f>
        <v>5888</v>
      </c>
      <c r="I26" s="8">
        <f>'Table Games'!I25</f>
        <v>0</v>
      </c>
      <c r="J26" s="8">
        <f>'Table Games'!J25</f>
        <v>16155</v>
      </c>
      <c r="K26" s="8">
        <f>'Table Games'!K25</f>
        <v>135935</v>
      </c>
      <c r="L26" s="8">
        <f>Video!E23</f>
        <v>188873.3899999999</v>
      </c>
      <c r="M26" s="8">
        <f>'Table Games'!L25+Video!F23</f>
        <v>108774.93</v>
      </c>
      <c r="N26" s="8">
        <f>'Table Games'!M25+Video!G23</f>
        <v>38905.22</v>
      </c>
      <c r="O26" s="8">
        <f>Video!H23</f>
        <v>8877.0499999999993</v>
      </c>
      <c r="P26" s="8">
        <f>'Table Games'!N25+Video!I23</f>
        <v>168251.19</v>
      </c>
    </row>
    <row r="27" spans="1:16" ht="15" customHeight="1" x14ac:dyDescent="0.25">
      <c r="A27" s="11">
        <f t="shared" ref="A27:A60" si="1">A26+7</f>
        <v>44506</v>
      </c>
      <c r="B27" s="8">
        <f>'Table Games'!B26</f>
        <v>66263</v>
      </c>
      <c r="C27" s="8">
        <f>'Table Games'!C26</f>
        <v>29665</v>
      </c>
      <c r="D27" s="8">
        <f>'Table Games'!D26</f>
        <v>0</v>
      </c>
      <c r="E27" s="8">
        <f>'Table Games'!E26</f>
        <v>0</v>
      </c>
      <c r="F27" s="8">
        <f>'Table Games'!F26</f>
        <v>0</v>
      </c>
      <c r="G27" s="8">
        <f>'Table Games'!G26</f>
        <v>0</v>
      </c>
      <c r="H27" s="8">
        <f>'Table Games'!H26</f>
        <v>-11546</v>
      </c>
      <c r="I27" s="8">
        <f>'Table Games'!I26</f>
        <v>0</v>
      </c>
      <c r="J27" s="8">
        <f>'Table Games'!J26</f>
        <v>10985</v>
      </c>
      <c r="K27" s="8">
        <f>'Table Games'!K26</f>
        <v>95367</v>
      </c>
      <c r="L27" s="8">
        <f>Video!E24</f>
        <v>62544.920000000042</v>
      </c>
      <c r="M27" s="8">
        <f>'Table Games'!L26+Video!F24</f>
        <v>51126.27</v>
      </c>
      <c r="N27" s="8">
        <f>'Table Games'!M26+Video!G24</f>
        <v>15400.99</v>
      </c>
      <c r="O27" s="8">
        <f>Video!H24</f>
        <v>2939.6200000000003</v>
      </c>
      <c r="P27" s="8">
        <f>'Table Games'!N26+Video!I24</f>
        <v>88445.040000000008</v>
      </c>
    </row>
    <row r="28" spans="1:16" ht="15" customHeight="1" x14ac:dyDescent="0.25">
      <c r="A28" s="11">
        <f t="shared" si="1"/>
        <v>44513</v>
      </c>
      <c r="B28" s="8">
        <f>'Table Games'!B27</f>
        <v>18693</v>
      </c>
      <c r="C28" s="8">
        <f>'Table Games'!C27</f>
        <v>19012</v>
      </c>
      <c r="D28" s="8">
        <f>'Table Games'!D27</f>
        <v>0</v>
      </c>
      <c r="E28" s="8">
        <f>'Table Games'!E27</f>
        <v>0</v>
      </c>
      <c r="F28" s="8">
        <f>'Table Games'!F27</f>
        <v>0</v>
      </c>
      <c r="G28" s="8">
        <f>'Table Games'!G27</f>
        <v>0</v>
      </c>
      <c r="H28" s="8">
        <f>'Table Games'!H27</f>
        <v>-44044</v>
      </c>
      <c r="I28" s="8">
        <f>'Table Games'!I27</f>
        <v>0</v>
      </c>
      <c r="J28" s="8">
        <f>'Table Games'!J27</f>
        <v>13718</v>
      </c>
      <c r="K28" s="8">
        <f>'Table Games'!K27</f>
        <v>7379</v>
      </c>
      <c r="L28" s="8">
        <f>Video!E25</f>
        <v>143088.25</v>
      </c>
      <c r="M28" s="8">
        <f>'Table Games'!L27+Video!F25</f>
        <v>53725.489999999991</v>
      </c>
      <c r="N28" s="8">
        <f>'Table Games'!M27+Video!G25</f>
        <v>24693.95</v>
      </c>
      <c r="O28" s="8">
        <f>Video!H25</f>
        <v>6725.15</v>
      </c>
      <c r="P28" s="8">
        <f>'Table Games'!N27+Video!I25</f>
        <v>65322.66</v>
      </c>
    </row>
    <row r="29" spans="1:16" ht="15" customHeight="1" x14ac:dyDescent="0.25">
      <c r="A29" s="11">
        <f t="shared" si="1"/>
        <v>44520</v>
      </c>
      <c r="B29" s="8">
        <f>'Table Games'!B28</f>
        <v>50014.5</v>
      </c>
      <c r="C29" s="8">
        <f>'Table Games'!C28</f>
        <v>-7432</v>
      </c>
      <c r="D29" s="8">
        <f>'Table Games'!D28</f>
        <v>0</v>
      </c>
      <c r="E29" s="8">
        <f>'Table Games'!E28</f>
        <v>0</v>
      </c>
      <c r="F29" s="8">
        <f>'Table Games'!F28</f>
        <v>0</v>
      </c>
      <c r="G29" s="8">
        <f>'Table Games'!G28</f>
        <v>0</v>
      </c>
      <c r="H29" s="8">
        <f>'Table Games'!H28</f>
        <v>56452</v>
      </c>
      <c r="I29" s="8">
        <f>'Table Games'!I28</f>
        <v>0</v>
      </c>
      <c r="J29" s="8">
        <f>'Table Games'!J28</f>
        <v>40546</v>
      </c>
      <c r="K29" s="8">
        <f>'Table Games'!K28</f>
        <v>139580.5</v>
      </c>
      <c r="L29" s="8">
        <f>Video!E26</f>
        <v>113848.84000000008</v>
      </c>
      <c r="M29" s="8">
        <f>'Table Games'!L28+Video!F26</f>
        <v>82859.73000000001</v>
      </c>
      <c r="N29" s="8">
        <f>'Table Games'!M28+Video!G26</f>
        <v>26333.35</v>
      </c>
      <c r="O29" s="8">
        <f>Video!H26</f>
        <v>5350.8899999999994</v>
      </c>
      <c r="P29" s="8">
        <f>'Table Games'!N28+Video!I26</f>
        <v>138885.37</v>
      </c>
    </row>
    <row r="30" spans="1:16" ht="15" customHeight="1" x14ac:dyDescent="0.25">
      <c r="A30" s="11">
        <f t="shared" si="1"/>
        <v>44527</v>
      </c>
      <c r="B30" s="8">
        <f>'Table Games'!B29</f>
        <v>248752.5</v>
      </c>
      <c r="C30" s="8">
        <f>'Table Games'!C29</f>
        <v>9594</v>
      </c>
      <c r="D30" s="8">
        <f>'Table Games'!D29</f>
        <v>0</v>
      </c>
      <c r="E30" s="8">
        <f>'Table Games'!E29</f>
        <v>0</v>
      </c>
      <c r="F30" s="8">
        <f>'Table Games'!F29</f>
        <v>0</v>
      </c>
      <c r="G30" s="8">
        <f>'Table Games'!G29</f>
        <v>0</v>
      </c>
      <c r="H30" s="8">
        <f>'Table Games'!H29</f>
        <v>59640</v>
      </c>
      <c r="I30" s="8">
        <f>'Table Games'!I29</f>
        <v>0</v>
      </c>
      <c r="J30" s="8">
        <f>'Table Games'!J29</f>
        <v>9766</v>
      </c>
      <c r="K30" s="8">
        <f>'Table Games'!K29</f>
        <v>327752.5</v>
      </c>
      <c r="L30" s="8">
        <f>Video!E27</f>
        <v>96696.880000000354</v>
      </c>
      <c r="M30" s="8">
        <f>'Table Games'!L29+Video!F27</f>
        <v>133136.62</v>
      </c>
      <c r="N30" s="8">
        <f>'Table Games'!M29+Video!G27</f>
        <v>32826.100000000006</v>
      </c>
      <c r="O30" s="8">
        <f>Video!H27</f>
        <v>4544.76</v>
      </c>
      <c r="P30" s="8">
        <f>'Table Games'!N29+Video!I27</f>
        <v>253941.9</v>
      </c>
    </row>
    <row r="31" spans="1:16" ht="15" customHeight="1" x14ac:dyDescent="0.25">
      <c r="A31" s="11">
        <f t="shared" si="1"/>
        <v>44534</v>
      </c>
      <c r="B31" s="8">
        <f>'Table Games'!B30</f>
        <v>212995.5</v>
      </c>
      <c r="C31" s="8">
        <f>'Table Games'!C30</f>
        <v>18292</v>
      </c>
      <c r="D31" s="8">
        <f>'Table Games'!D30</f>
        <v>0</v>
      </c>
      <c r="E31" s="8">
        <f>'Table Games'!E30</f>
        <v>-32579.25</v>
      </c>
      <c r="F31" s="8">
        <f>'Table Games'!F30</f>
        <v>0</v>
      </c>
      <c r="G31" s="8">
        <f>'Table Games'!G30</f>
        <v>0</v>
      </c>
      <c r="H31" s="8">
        <f>'Table Games'!H30</f>
        <v>39094</v>
      </c>
      <c r="I31" s="8">
        <f>'Table Games'!I30</f>
        <v>-26720</v>
      </c>
      <c r="J31" s="8">
        <f>'Table Games'!J30</f>
        <v>5740</v>
      </c>
      <c r="K31" s="8">
        <f>'Table Games'!K30</f>
        <v>216822.25</v>
      </c>
      <c r="L31" s="8">
        <f>Video!E28</f>
        <v>121341.79000000027</v>
      </c>
      <c r="M31" s="8">
        <f>'Table Games'!L30+Video!F28</f>
        <v>108729.73000000001</v>
      </c>
      <c r="N31" s="8">
        <f>'Table Games'!M30+Video!G28</f>
        <v>31469.219999999998</v>
      </c>
      <c r="O31" s="8">
        <f>Video!H28</f>
        <v>5703.06</v>
      </c>
      <c r="P31" s="8">
        <f>'Table Games'!N30+Video!I28</f>
        <v>192262.03</v>
      </c>
    </row>
    <row r="32" spans="1:16" ht="15" customHeight="1" x14ac:dyDescent="0.25">
      <c r="A32" s="11">
        <f t="shared" si="1"/>
        <v>44541</v>
      </c>
      <c r="B32" s="8">
        <f>'Table Games'!B31</f>
        <v>123618</v>
      </c>
      <c r="C32" s="8">
        <f>'Table Games'!C31</f>
        <v>24911</v>
      </c>
      <c r="D32" s="8">
        <f>'Table Games'!D31</f>
        <v>0</v>
      </c>
      <c r="E32" s="8">
        <f>'Table Games'!E31</f>
        <v>0</v>
      </c>
      <c r="F32" s="8">
        <f>'Table Games'!F31</f>
        <v>0</v>
      </c>
      <c r="G32" s="8">
        <f>'Table Games'!G31</f>
        <v>0</v>
      </c>
      <c r="H32" s="8">
        <f>'Table Games'!H31</f>
        <v>-11218</v>
      </c>
      <c r="I32" s="8">
        <f>'Table Games'!I31</f>
        <v>24850</v>
      </c>
      <c r="J32" s="8">
        <f>'Table Games'!J31</f>
        <v>17353</v>
      </c>
      <c r="K32" s="8">
        <f>'Table Games'!K31</f>
        <v>179514</v>
      </c>
      <c r="L32" s="8">
        <f>Video!E29</f>
        <v>90888.209999999963</v>
      </c>
      <c r="M32" s="8">
        <f>'Table Games'!L31+Video!F29</f>
        <v>86573.97</v>
      </c>
      <c r="N32" s="8">
        <f>'Table Games'!M31+Video!G29</f>
        <v>24426.68</v>
      </c>
      <c r="O32" s="8">
        <f>Video!H29</f>
        <v>4271.75</v>
      </c>
      <c r="P32" s="8">
        <f>'Table Games'!N31+Video!I29</f>
        <v>155129.81</v>
      </c>
    </row>
    <row r="33" spans="1:16" ht="15" customHeight="1" x14ac:dyDescent="0.25">
      <c r="A33" s="11">
        <f t="shared" si="1"/>
        <v>44548</v>
      </c>
      <c r="B33" s="8">
        <f>'Table Games'!B32</f>
        <v>57358</v>
      </c>
      <c r="C33" s="8">
        <f>'Table Games'!C32</f>
        <v>15144</v>
      </c>
      <c r="D33" s="8">
        <f>'Table Games'!D32</f>
        <v>0</v>
      </c>
      <c r="E33" s="8">
        <f>'Table Games'!E32</f>
        <v>0</v>
      </c>
      <c r="F33" s="8">
        <f>'Table Games'!F32</f>
        <v>0</v>
      </c>
      <c r="G33" s="8">
        <f>'Table Games'!G32</f>
        <v>0</v>
      </c>
      <c r="H33" s="8">
        <f>'Table Games'!H32</f>
        <v>31138</v>
      </c>
      <c r="I33" s="8">
        <f>'Table Games'!I32</f>
        <v>580</v>
      </c>
      <c r="J33" s="8">
        <f>'Table Games'!J32</f>
        <v>12015</v>
      </c>
      <c r="K33" s="8">
        <f>'Table Games'!K32</f>
        <v>116235</v>
      </c>
      <c r="L33" s="8">
        <f>Video!E30</f>
        <v>107821.89999999991</v>
      </c>
      <c r="M33" s="8">
        <f>'Table Games'!L32+Video!F30</f>
        <v>73686.38</v>
      </c>
      <c r="N33" s="8">
        <f>'Table Games'!M32+Video!G30</f>
        <v>24141.47</v>
      </c>
      <c r="O33" s="8">
        <f>Video!H30</f>
        <v>5067.63</v>
      </c>
      <c r="P33" s="8">
        <f>'Table Games'!N32+Video!I30</f>
        <v>121161.42000000001</v>
      </c>
    </row>
    <row r="34" spans="1:16" ht="15" customHeight="1" x14ac:dyDescent="0.25">
      <c r="A34" s="11">
        <f t="shared" si="1"/>
        <v>44555</v>
      </c>
      <c r="B34" s="8">
        <f>'Table Games'!B33</f>
        <v>-40759</v>
      </c>
      <c r="C34" s="8">
        <f>'Table Games'!C33</f>
        <v>13398</v>
      </c>
      <c r="D34" s="8">
        <f>'Table Games'!D33</f>
        <v>0</v>
      </c>
      <c r="E34" s="8">
        <f>'Table Games'!E33</f>
        <v>0</v>
      </c>
      <c r="F34" s="8">
        <f>'Table Games'!F33</f>
        <v>0</v>
      </c>
      <c r="G34" s="8">
        <f>'Table Games'!G33</f>
        <v>0</v>
      </c>
      <c r="H34" s="8">
        <f>'Table Games'!H33</f>
        <v>2622</v>
      </c>
      <c r="I34" s="8">
        <f>'Table Games'!I33</f>
        <v>10400</v>
      </c>
      <c r="J34" s="8">
        <f>'Table Games'!J33</f>
        <v>8392</v>
      </c>
      <c r="K34" s="8">
        <f>'Table Games'!K33</f>
        <v>-5947</v>
      </c>
      <c r="L34" s="8">
        <f>Video!E31</f>
        <v>75292.830000000075</v>
      </c>
      <c r="M34" s="8">
        <f>'Table Games'!L33+Video!F31</f>
        <v>25321.31</v>
      </c>
      <c r="N34" s="8">
        <f>'Table Games'!M33+Video!G31</f>
        <v>12502.43</v>
      </c>
      <c r="O34" s="8">
        <f>Video!H31</f>
        <v>3538.7700000000004</v>
      </c>
      <c r="P34" s="8">
        <f>'Table Games'!N33+Video!I31</f>
        <v>27983.32</v>
      </c>
    </row>
    <row r="35" spans="1:16" ht="15" customHeight="1" x14ac:dyDescent="0.25">
      <c r="A35" s="11">
        <f t="shared" si="1"/>
        <v>44562</v>
      </c>
      <c r="B35" s="8">
        <f>'Table Games'!B34</f>
        <v>144159.5</v>
      </c>
      <c r="C35" s="8">
        <f>'Table Games'!C34</f>
        <v>37093</v>
      </c>
      <c r="D35" s="8">
        <f>'Table Games'!D34</f>
        <v>0</v>
      </c>
      <c r="E35" s="8">
        <f>'Table Games'!E34</f>
        <v>77875</v>
      </c>
      <c r="F35" s="8">
        <f>'Table Games'!F34</f>
        <v>0</v>
      </c>
      <c r="G35" s="8">
        <f>'Table Games'!G34</f>
        <v>0</v>
      </c>
      <c r="H35" s="8">
        <f>'Table Games'!H34</f>
        <v>44042</v>
      </c>
      <c r="I35" s="8">
        <f>'Table Games'!I34</f>
        <v>-24853</v>
      </c>
      <c r="J35" s="8">
        <f>'Table Games'!J34</f>
        <v>17485</v>
      </c>
      <c r="K35" s="8">
        <f>'Table Games'!K34</f>
        <v>295801.5</v>
      </c>
      <c r="L35" s="8">
        <f>Video!E32</f>
        <v>174282.99</v>
      </c>
      <c r="M35" s="8">
        <f>'Table Games'!L34+Video!F32</f>
        <v>151482.32999999999</v>
      </c>
      <c r="N35" s="8">
        <f>'Table Games'!M34+Video!G32</f>
        <v>44418.19</v>
      </c>
      <c r="O35" s="8">
        <f>Video!H32</f>
        <v>8191.29</v>
      </c>
      <c r="P35" s="8">
        <f>'Table Games'!N34+Video!I32</f>
        <v>265992.68</v>
      </c>
    </row>
    <row r="36" spans="1:16" ht="15" customHeight="1" x14ac:dyDescent="0.25">
      <c r="A36" s="11">
        <f t="shared" si="1"/>
        <v>44569</v>
      </c>
      <c r="B36" s="8">
        <f>'Table Games'!B35</f>
        <v>85852</v>
      </c>
      <c r="C36" s="8">
        <f>'Table Games'!C35</f>
        <v>-2737</v>
      </c>
      <c r="D36" s="8">
        <f>'Table Games'!D35</f>
        <v>0</v>
      </c>
      <c r="E36" s="8">
        <f>'Table Games'!E35</f>
        <v>0</v>
      </c>
      <c r="F36" s="8">
        <f>'Table Games'!F35</f>
        <v>0</v>
      </c>
      <c r="G36" s="8">
        <f>'Table Games'!G35</f>
        <v>0</v>
      </c>
      <c r="H36" s="8">
        <f>'Table Games'!H35</f>
        <v>32167</v>
      </c>
      <c r="I36" s="8">
        <f>'Table Games'!I35</f>
        <v>0</v>
      </c>
      <c r="J36" s="8">
        <f>'Table Games'!J35</f>
        <v>-1822</v>
      </c>
      <c r="K36" s="8">
        <f>'Table Games'!K35</f>
        <v>113460</v>
      </c>
      <c r="L36" s="8">
        <f>Video!E33</f>
        <v>168226.2100000002</v>
      </c>
      <c r="M36" s="8">
        <f>'Table Games'!L35+Video!F33</f>
        <v>94599.43</v>
      </c>
      <c r="N36" s="8">
        <f>'Table Games'!M35+Video!G33</f>
        <v>34271.46</v>
      </c>
      <c r="O36" s="8">
        <f>Video!H33</f>
        <v>7906.64</v>
      </c>
      <c r="P36" s="8">
        <f>'Table Games'!N35+Video!I33</f>
        <v>144908.68</v>
      </c>
    </row>
    <row r="37" spans="1:16" ht="15" customHeight="1" x14ac:dyDescent="0.25">
      <c r="A37" s="11">
        <f t="shared" si="1"/>
        <v>44576</v>
      </c>
      <c r="B37" s="8">
        <f>'Table Games'!B36</f>
        <v>43237</v>
      </c>
      <c r="C37" s="8">
        <f>'Table Games'!C36</f>
        <v>-8637</v>
      </c>
      <c r="D37" s="8">
        <f>'Table Games'!D36</f>
        <v>0</v>
      </c>
      <c r="E37" s="8">
        <f>'Table Games'!E36</f>
        <v>0</v>
      </c>
      <c r="F37" s="8">
        <f>'Table Games'!F36</f>
        <v>0</v>
      </c>
      <c r="G37" s="8">
        <f>'Table Games'!G36</f>
        <v>0</v>
      </c>
      <c r="H37" s="8">
        <f>'Table Games'!H36</f>
        <v>9816</v>
      </c>
      <c r="I37" s="8">
        <f>'Table Games'!I36</f>
        <v>-12375</v>
      </c>
      <c r="J37" s="8">
        <f>'Table Games'!J36</f>
        <v>6008</v>
      </c>
      <c r="K37" s="8">
        <f>'Table Games'!K36</f>
        <v>38049</v>
      </c>
      <c r="L37" s="8">
        <f>Video!E34</f>
        <v>53850.889999999898</v>
      </c>
      <c r="M37" s="8">
        <f>'Table Games'!L36+Video!F34</f>
        <v>30801.03</v>
      </c>
      <c r="N37" s="8">
        <f>'Table Games'!M36+Video!G34</f>
        <v>11057.1</v>
      </c>
      <c r="O37" s="8">
        <f>Video!H34</f>
        <v>2530.9799999999996</v>
      </c>
      <c r="P37" s="8">
        <f>'Table Games'!N36+Video!I34</f>
        <v>47510.78</v>
      </c>
    </row>
    <row r="38" spans="1:16" ht="15" customHeight="1" x14ac:dyDescent="0.25">
      <c r="A38" s="11">
        <f t="shared" si="1"/>
        <v>44583</v>
      </c>
      <c r="B38" s="8">
        <f>'Table Games'!B37</f>
        <v>84793.5</v>
      </c>
      <c r="C38" s="8">
        <f>'Table Games'!C37</f>
        <v>18667</v>
      </c>
      <c r="D38" s="8">
        <f>'Table Games'!D37</f>
        <v>0</v>
      </c>
      <c r="E38" s="8">
        <f>'Table Games'!E37</f>
        <v>0</v>
      </c>
      <c r="F38" s="8">
        <f>'Table Games'!F37</f>
        <v>0</v>
      </c>
      <c r="G38" s="8">
        <f>'Table Games'!G37</f>
        <v>0</v>
      </c>
      <c r="H38" s="8">
        <f>'Table Games'!H37</f>
        <v>28023</v>
      </c>
      <c r="I38" s="8">
        <f>'Table Games'!I37</f>
        <v>0</v>
      </c>
      <c r="J38" s="8">
        <f>'Table Games'!J37</f>
        <v>4395</v>
      </c>
      <c r="K38" s="8">
        <f>'Table Games'!K37</f>
        <v>135878.5</v>
      </c>
      <c r="L38" s="8">
        <f>Video!E35</f>
        <v>130562.29000000004</v>
      </c>
      <c r="M38" s="8">
        <f>'Table Games'!L37+Video!F35</f>
        <v>87765.98000000001</v>
      </c>
      <c r="N38" s="8">
        <f>'Table Games'!M37+Video!G35</f>
        <v>28989.510000000002</v>
      </c>
      <c r="O38" s="8">
        <f>Video!H35</f>
        <v>6136.4400000000005</v>
      </c>
      <c r="P38" s="8">
        <f>'Table Games'!N37+Video!I35</f>
        <v>143548.85999999999</v>
      </c>
    </row>
    <row r="39" spans="1:16" ht="15" customHeight="1" x14ac:dyDescent="0.25">
      <c r="A39" s="11">
        <f t="shared" si="1"/>
        <v>44590</v>
      </c>
      <c r="B39" s="8">
        <f>'Table Games'!B38</f>
        <v>44233.5</v>
      </c>
      <c r="C39" s="8">
        <f>'Table Games'!C38</f>
        <v>42116</v>
      </c>
      <c r="D39" s="8">
        <f>'Table Games'!D38</f>
        <v>0</v>
      </c>
      <c r="E39" s="8">
        <f>'Table Games'!E38</f>
        <v>0</v>
      </c>
      <c r="F39" s="8">
        <f>'Table Games'!F38</f>
        <v>0</v>
      </c>
      <c r="G39" s="8">
        <f>'Table Games'!G38</f>
        <v>0</v>
      </c>
      <c r="H39" s="8">
        <f>'Table Games'!H38</f>
        <v>15033.5</v>
      </c>
      <c r="I39" s="8">
        <f>'Table Games'!I38</f>
        <v>5300</v>
      </c>
      <c r="J39" s="8">
        <f>'Table Games'!J38</f>
        <v>8617</v>
      </c>
      <c r="K39" s="8">
        <f>'Table Games'!K38</f>
        <v>115300</v>
      </c>
      <c r="L39" s="8">
        <f>Video!E36</f>
        <v>47749.710000000079</v>
      </c>
      <c r="M39" s="8">
        <f>'Table Games'!L38+Video!F36</f>
        <v>51779.9</v>
      </c>
      <c r="N39" s="8">
        <f>'Table Games'!M38+Video!G36</f>
        <v>13882.45</v>
      </c>
      <c r="O39" s="8">
        <f>Video!H36</f>
        <v>2244.2299999999996</v>
      </c>
      <c r="P39" s="8">
        <f>'Table Games'!N38+Video!I36</f>
        <v>95143.13</v>
      </c>
    </row>
    <row r="40" spans="1:16" ht="15" customHeight="1" x14ac:dyDescent="0.25">
      <c r="A40" s="11">
        <f t="shared" si="1"/>
        <v>44597</v>
      </c>
      <c r="B40" s="8">
        <f>'Table Games'!B39</f>
        <v>98163</v>
      </c>
      <c r="C40" s="8">
        <f>'Table Games'!C39</f>
        <v>13514</v>
      </c>
      <c r="D40" s="8">
        <f>'Table Games'!D39</f>
        <v>0</v>
      </c>
      <c r="E40" s="8">
        <f>'Table Games'!E39</f>
        <v>0</v>
      </c>
      <c r="F40" s="8">
        <f>'Table Games'!F39</f>
        <v>0</v>
      </c>
      <c r="G40" s="8">
        <f>'Table Games'!G39</f>
        <v>0</v>
      </c>
      <c r="H40" s="8">
        <f>'Table Games'!H39</f>
        <v>14193.5</v>
      </c>
      <c r="I40" s="8">
        <f>'Table Games'!I39</f>
        <v>0</v>
      </c>
      <c r="J40" s="8">
        <f>'Table Games'!J39</f>
        <v>7854</v>
      </c>
      <c r="K40" s="8">
        <f>'Table Games'!K39</f>
        <v>133724.5</v>
      </c>
      <c r="L40" s="8">
        <f>Video!E37</f>
        <v>114306.03000000003</v>
      </c>
      <c r="M40" s="8">
        <f>'Table Games'!L39+Video!F37</f>
        <v>81267.509999999995</v>
      </c>
      <c r="N40" s="8">
        <f>'Table Games'!M39+Video!G37</f>
        <v>26118.26</v>
      </c>
      <c r="O40" s="8">
        <f>Video!H37</f>
        <v>5372.39</v>
      </c>
      <c r="P40" s="8">
        <f>'Table Games'!N39+Video!I37</f>
        <v>135272.37</v>
      </c>
    </row>
    <row r="41" spans="1:16" ht="15" customHeight="1" x14ac:dyDescent="0.25">
      <c r="A41" s="11">
        <f t="shared" si="1"/>
        <v>44604</v>
      </c>
      <c r="B41" s="8">
        <f>'Table Games'!B40</f>
        <v>169847.5</v>
      </c>
      <c r="C41" s="8">
        <f>'Table Games'!C40</f>
        <v>8283</v>
      </c>
      <c r="D41" s="8">
        <f>'Table Games'!D40</f>
        <v>0</v>
      </c>
      <c r="E41" s="8">
        <f>'Table Games'!E40</f>
        <v>0</v>
      </c>
      <c r="F41" s="8">
        <f>'Table Games'!F40</f>
        <v>0</v>
      </c>
      <c r="G41" s="8">
        <f>'Table Games'!G40</f>
        <v>0</v>
      </c>
      <c r="H41" s="8">
        <f>'Table Games'!H40</f>
        <v>37447</v>
      </c>
      <c r="I41" s="8">
        <f>'Table Games'!I40</f>
        <v>0</v>
      </c>
      <c r="J41" s="8">
        <f>'Table Games'!J40</f>
        <v>4672</v>
      </c>
      <c r="K41" s="8">
        <f>'Table Games'!K40</f>
        <v>220249.5</v>
      </c>
      <c r="L41" s="8">
        <f>Video!E38</f>
        <v>150321.35000000033</v>
      </c>
      <c r="M41" s="8">
        <f>'Table Games'!L40+Video!F38</f>
        <v>120190.53</v>
      </c>
      <c r="N41" s="8">
        <f>'Table Games'!M40+Video!G38</f>
        <v>36567.11</v>
      </c>
      <c r="O41" s="8">
        <f>Video!H38</f>
        <v>7065.1100000000006</v>
      </c>
      <c r="P41" s="8">
        <f>'Table Games'!N40+Video!I38</f>
        <v>206748.09999999998</v>
      </c>
    </row>
    <row r="42" spans="1:16" ht="15" customHeight="1" x14ac:dyDescent="0.25">
      <c r="A42" s="11">
        <f t="shared" si="1"/>
        <v>44611</v>
      </c>
      <c r="B42" s="8">
        <f>'Table Games'!B41</f>
        <v>184318.5</v>
      </c>
      <c r="C42" s="8">
        <f>'Table Games'!C41</f>
        <v>6023</v>
      </c>
      <c r="D42" s="8">
        <f>'Table Games'!D41</f>
        <v>0</v>
      </c>
      <c r="E42" s="8">
        <f>'Table Games'!E41</f>
        <v>0</v>
      </c>
      <c r="F42" s="8">
        <f>'Table Games'!F41</f>
        <v>0</v>
      </c>
      <c r="G42" s="8">
        <f>'Table Games'!G41</f>
        <v>0</v>
      </c>
      <c r="H42" s="8">
        <f>'Table Games'!H41</f>
        <v>15155</v>
      </c>
      <c r="I42" s="8">
        <f>'Table Games'!I41</f>
        <v>0</v>
      </c>
      <c r="J42" s="8">
        <f>'Table Games'!J41</f>
        <v>10451</v>
      </c>
      <c r="K42" s="8">
        <f>'Table Games'!K41</f>
        <v>215947.5</v>
      </c>
      <c r="L42" s="8">
        <f>Video!E39</f>
        <v>103972.14999999991</v>
      </c>
      <c r="M42" s="8">
        <f>'Table Games'!L41+Video!F39</f>
        <v>102214.25</v>
      </c>
      <c r="N42" s="8">
        <f>'Table Games'!M41+Video!G39</f>
        <v>28472.639999999999</v>
      </c>
      <c r="O42" s="8">
        <f>Video!H39</f>
        <v>4886.6799999999994</v>
      </c>
      <c r="P42" s="8">
        <f>'Table Games'!N41+Video!I39</f>
        <v>184346.08</v>
      </c>
    </row>
    <row r="43" spans="1:16" ht="15" customHeight="1" x14ac:dyDescent="0.25">
      <c r="A43" s="11">
        <f t="shared" si="1"/>
        <v>44618</v>
      </c>
      <c r="B43" s="8">
        <f>'Table Games'!B42</f>
        <v>63491.5</v>
      </c>
      <c r="C43" s="8">
        <f>'Table Games'!C42</f>
        <v>18774</v>
      </c>
      <c r="D43" s="8">
        <f>'Table Games'!D42</f>
        <v>0</v>
      </c>
      <c r="E43" s="8">
        <f>'Table Games'!E42</f>
        <v>0</v>
      </c>
      <c r="F43" s="8">
        <f>'Table Games'!F42</f>
        <v>0</v>
      </c>
      <c r="G43" s="8">
        <f>'Table Games'!G42</f>
        <v>0</v>
      </c>
      <c r="H43" s="8">
        <f>'Table Games'!H42</f>
        <v>18477</v>
      </c>
      <c r="I43" s="8">
        <f>'Table Games'!I42</f>
        <v>0</v>
      </c>
      <c r="J43" s="8">
        <f>'Table Games'!J42</f>
        <v>14524</v>
      </c>
      <c r="K43" s="8">
        <f>'Table Games'!K42</f>
        <v>115266.5</v>
      </c>
      <c r="L43" s="8">
        <f>Video!E40</f>
        <v>171257.04000000004</v>
      </c>
      <c r="M43" s="8">
        <f>'Table Games'!L42+Video!F40</f>
        <v>96232.489999999991</v>
      </c>
      <c r="N43" s="8">
        <f>'Table Games'!M42+Video!G40</f>
        <v>34877.03</v>
      </c>
      <c r="O43" s="8">
        <f>Video!H40</f>
        <v>8049.08</v>
      </c>
      <c r="P43" s="8">
        <f>'Table Games'!N42+Video!I40</f>
        <v>147364.94</v>
      </c>
    </row>
    <row r="44" spans="1:16" ht="15" customHeight="1" x14ac:dyDescent="0.25">
      <c r="A44" s="11">
        <f t="shared" si="1"/>
        <v>44625</v>
      </c>
      <c r="B44" s="8">
        <f>'Table Games'!B43</f>
        <v>216017.5</v>
      </c>
      <c r="C44" s="8">
        <f>'Table Games'!C43</f>
        <v>5381</v>
      </c>
      <c r="D44" s="8">
        <f>'Table Games'!D43</f>
        <v>0</v>
      </c>
      <c r="E44" s="8">
        <f>'Table Games'!E43</f>
        <v>0</v>
      </c>
      <c r="F44" s="8">
        <f>'Table Games'!F43</f>
        <v>0</v>
      </c>
      <c r="G44" s="8">
        <f>'Table Games'!G43</f>
        <v>0</v>
      </c>
      <c r="H44" s="8">
        <f>'Table Games'!H43</f>
        <v>11794</v>
      </c>
      <c r="I44" s="8">
        <f>'Table Games'!I43</f>
        <v>0</v>
      </c>
      <c r="J44" s="8">
        <f>'Table Games'!J43</f>
        <v>33298</v>
      </c>
      <c r="K44" s="8">
        <f>'Table Games'!K43</f>
        <v>266490.5</v>
      </c>
      <c r="L44" s="8">
        <f>Video!E41</f>
        <v>62146.089999999967</v>
      </c>
      <c r="M44" s="8">
        <f>'Table Games'!L43+Video!F41</f>
        <v>102319.75</v>
      </c>
      <c r="N44" s="8">
        <f>'Table Games'!M43+Video!G41</f>
        <v>23889.35</v>
      </c>
      <c r="O44" s="8">
        <f>Video!H41</f>
        <v>2920.87</v>
      </c>
      <c r="P44" s="8">
        <f>'Table Games'!N43+Video!I41</f>
        <v>199506.61999999997</v>
      </c>
    </row>
    <row r="45" spans="1:16" ht="15" customHeight="1" x14ac:dyDescent="0.25">
      <c r="A45" s="11">
        <f t="shared" si="1"/>
        <v>44632</v>
      </c>
      <c r="B45" s="8">
        <f>'Table Games'!B44</f>
        <v>83798</v>
      </c>
      <c r="C45" s="8">
        <f>'Table Games'!C44</f>
        <v>551</v>
      </c>
      <c r="D45" s="8">
        <f>'Table Games'!D44</f>
        <v>0</v>
      </c>
      <c r="E45" s="8">
        <f>'Table Games'!E44</f>
        <v>0</v>
      </c>
      <c r="F45" s="8">
        <f>'Table Games'!F44</f>
        <v>0</v>
      </c>
      <c r="G45" s="8">
        <f>'Table Games'!G44</f>
        <v>0</v>
      </c>
      <c r="H45" s="8">
        <f>'Table Games'!H44</f>
        <v>2380</v>
      </c>
      <c r="I45" s="8">
        <f>'Table Games'!I44</f>
        <v>0</v>
      </c>
      <c r="J45" s="8">
        <f>'Table Games'!J44</f>
        <v>4270</v>
      </c>
      <c r="K45" s="8">
        <f>'Table Games'!K44</f>
        <v>90999</v>
      </c>
      <c r="L45" s="8">
        <f>Video!E42</f>
        <v>58443.050000000047</v>
      </c>
      <c r="M45" s="8">
        <f>'Table Games'!L44+Video!F42</f>
        <v>48339.199999999997</v>
      </c>
      <c r="N45" s="8">
        <f>'Table Games'!M44+Video!G42</f>
        <v>14485.27</v>
      </c>
      <c r="O45" s="8">
        <f>Video!H42</f>
        <v>2746.82</v>
      </c>
      <c r="P45" s="8">
        <f>'Table Games'!N44+Video!I42</f>
        <v>83870.759999999995</v>
      </c>
    </row>
    <row r="46" spans="1:16" ht="15" customHeight="1" x14ac:dyDescent="0.25">
      <c r="A46" s="11">
        <f t="shared" si="1"/>
        <v>44639</v>
      </c>
      <c r="B46" s="8">
        <f>'Table Games'!B45</f>
        <v>107375</v>
      </c>
      <c r="C46" s="8">
        <f>'Table Games'!C45</f>
        <v>-629</v>
      </c>
      <c r="D46" s="8">
        <f>'Table Games'!D45</f>
        <v>0</v>
      </c>
      <c r="E46" s="8">
        <f>'Table Games'!E45</f>
        <v>0</v>
      </c>
      <c r="F46" s="8">
        <f>'Table Games'!F45</f>
        <v>0</v>
      </c>
      <c r="G46" s="8">
        <f>'Table Games'!G45</f>
        <v>0</v>
      </c>
      <c r="H46" s="8">
        <f>'Table Games'!H45</f>
        <v>4042</v>
      </c>
      <c r="I46" s="8">
        <f>'Table Games'!I45</f>
        <v>4620</v>
      </c>
      <c r="J46" s="8">
        <f>'Table Games'!J45</f>
        <v>7679</v>
      </c>
      <c r="K46" s="8">
        <f>'Table Games'!K45</f>
        <v>123087</v>
      </c>
      <c r="L46" s="8">
        <f>Video!E43</f>
        <v>23052.180000000051</v>
      </c>
      <c r="M46" s="8">
        <f>'Table Games'!L45+Video!F43</f>
        <v>45224.869999999995</v>
      </c>
      <c r="N46" s="8">
        <f>'Table Games'!M45+Video!G43</f>
        <v>10073.220000000001</v>
      </c>
      <c r="O46" s="8">
        <f>Video!H43</f>
        <v>1083.46</v>
      </c>
      <c r="P46" s="8">
        <f>'Table Games'!N45+Video!I43</f>
        <v>89757.63</v>
      </c>
    </row>
    <row r="47" spans="1:16" ht="15" customHeight="1" x14ac:dyDescent="0.25">
      <c r="A47" s="11">
        <f t="shared" si="1"/>
        <v>44646</v>
      </c>
      <c r="B47" s="8">
        <f>'Table Games'!B46</f>
        <v>10859.5</v>
      </c>
      <c r="C47" s="8">
        <f>'Table Games'!C46</f>
        <v>12588</v>
      </c>
      <c r="D47" s="8">
        <f>'Table Games'!D46</f>
        <v>0</v>
      </c>
      <c r="E47" s="8">
        <f>'Table Games'!E46</f>
        <v>0</v>
      </c>
      <c r="F47" s="8">
        <f>'Table Games'!F46</f>
        <v>0</v>
      </c>
      <c r="G47" s="8">
        <f>'Table Games'!G46</f>
        <v>0</v>
      </c>
      <c r="H47" s="8">
        <f>'Table Games'!H46</f>
        <v>21112</v>
      </c>
      <c r="I47" s="8">
        <f>'Table Games'!I46</f>
        <v>0</v>
      </c>
      <c r="J47" s="8">
        <f>'Table Games'!J46</f>
        <v>1334</v>
      </c>
      <c r="K47" s="8">
        <f>'Table Games'!K46</f>
        <v>45893.5</v>
      </c>
      <c r="L47" s="8">
        <f>Video!E44</f>
        <v>109754.51000000013</v>
      </c>
      <c r="M47" s="8">
        <f>'Table Games'!L46+Video!F44</f>
        <v>53279.650000000009</v>
      </c>
      <c r="N47" s="8">
        <f>'Table Games'!M46+Video!G44</f>
        <v>20952.97</v>
      </c>
      <c r="O47" s="8">
        <f>Video!H44</f>
        <v>5158.46</v>
      </c>
      <c r="P47" s="8">
        <f>'Table Games'!N46+Video!I44</f>
        <v>76256.930000000008</v>
      </c>
    </row>
    <row r="48" spans="1:16" ht="15" customHeight="1" x14ac:dyDescent="0.25">
      <c r="A48" s="11">
        <f t="shared" si="1"/>
        <v>44653</v>
      </c>
      <c r="B48" s="8">
        <f>'Table Games'!B47</f>
        <v>18819.5</v>
      </c>
      <c r="C48" s="8">
        <f>'Table Games'!C47</f>
        <v>11977</v>
      </c>
      <c r="D48" s="8">
        <f>'Table Games'!D47</f>
        <v>0</v>
      </c>
      <c r="E48" s="8">
        <f>'Table Games'!E47</f>
        <v>0</v>
      </c>
      <c r="F48" s="8">
        <f>'Table Games'!F47</f>
        <v>0</v>
      </c>
      <c r="G48" s="8">
        <f>'Table Games'!G47</f>
        <v>0</v>
      </c>
      <c r="H48" s="8">
        <f>'Table Games'!H47</f>
        <v>7657</v>
      </c>
      <c r="I48" s="8">
        <f>'Table Games'!I47</f>
        <v>0</v>
      </c>
      <c r="J48" s="8">
        <f>'Table Games'!J47</f>
        <v>10125</v>
      </c>
      <c r="K48" s="8">
        <f>'Table Games'!K47</f>
        <v>48578.5</v>
      </c>
      <c r="L48" s="8">
        <f>Video!E45</f>
        <v>34802.410000000149</v>
      </c>
      <c r="M48" s="8">
        <f>'Table Games'!L47+Video!F45</f>
        <v>27102.41</v>
      </c>
      <c r="N48" s="8">
        <f>'Table Games'!M47+Video!G45</f>
        <v>8345.34</v>
      </c>
      <c r="O48" s="8">
        <f>Video!H45</f>
        <v>1635.71</v>
      </c>
      <c r="P48" s="8">
        <f>'Table Games'!N47+Video!I45</f>
        <v>46297.45</v>
      </c>
    </row>
    <row r="49" spans="1:16" ht="15" customHeight="1" x14ac:dyDescent="0.25">
      <c r="A49" s="11">
        <f t="shared" si="1"/>
        <v>44660</v>
      </c>
      <c r="B49" s="8">
        <f>'Table Games'!B48</f>
        <v>-45997</v>
      </c>
      <c r="C49" s="8">
        <f>'Table Games'!C48</f>
        <v>1879</v>
      </c>
      <c r="D49" s="8">
        <f>'Table Games'!D48</f>
        <v>0</v>
      </c>
      <c r="E49" s="8">
        <f>'Table Games'!E48</f>
        <v>0</v>
      </c>
      <c r="F49" s="8">
        <f>'Table Games'!F48</f>
        <v>0</v>
      </c>
      <c r="G49" s="8">
        <f>'Table Games'!G48</f>
        <v>70</v>
      </c>
      <c r="H49" s="8">
        <f>'Table Games'!H48</f>
        <v>-3807</v>
      </c>
      <c r="I49" s="8">
        <f>'Table Games'!I48</f>
        <v>0</v>
      </c>
      <c r="J49" s="8">
        <f>'Table Games'!J48</f>
        <v>10434</v>
      </c>
      <c r="K49" s="8">
        <f>'Table Games'!K48</f>
        <v>-37421</v>
      </c>
      <c r="L49" s="8">
        <f>Video!E46</f>
        <v>-68748.60999999987</v>
      </c>
      <c r="M49" s="8">
        <f>'Table Games'!L48+Video!F46</f>
        <v>-35975.82</v>
      </c>
      <c r="N49" s="8">
        <f>'Table Games'!M48+Video!G46</f>
        <v>-13558.31</v>
      </c>
      <c r="O49" s="8">
        <f>Video!H46</f>
        <v>-3231.18</v>
      </c>
      <c r="P49" s="8">
        <f>'Table Games'!N48+Video!I46</f>
        <v>-53404.3</v>
      </c>
    </row>
    <row r="50" spans="1:16" ht="15" customHeight="1" x14ac:dyDescent="0.25">
      <c r="A50" s="11">
        <f t="shared" si="1"/>
        <v>44667</v>
      </c>
      <c r="B50" s="8">
        <f>'Table Games'!B49</f>
        <v>114090</v>
      </c>
      <c r="C50" s="8">
        <f>'Table Games'!C49</f>
        <v>38538</v>
      </c>
      <c r="D50" s="8">
        <f>'Table Games'!D49</f>
        <v>0</v>
      </c>
      <c r="E50" s="8">
        <f>'Table Games'!E49</f>
        <v>-120</v>
      </c>
      <c r="F50" s="8">
        <f>'Table Games'!F49</f>
        <v>0</v>
      </c>
      <c r="G50" s="8">
        <f>'Table Games'!G49</f>
        <v>55</v>
      </c>
      <c r="H50" s="8">
        <f>'Table Games'!H49</f>
        <v>9726</v>
      </c>
      <c r="I50" s="8">
        <f>'Table Games'!I49</f>
        <v>0</v>
      </c>
      <c r="J50" s="8">
        <f>'Table Games'!J49</f>
        <v>7968</v>
      </c>
      <c r="K50" s="8">
        <f>'Table Games'!K49</f>
        <v>170257</v>
      </c>
      <c r="L50" s="8">
        <f>Video!E47</f>
        <v>73088.520000000019</v>
      </c>
      <c r="M50" s="8">
        <f>'Table Games'!L49+Video!F47</f>
        <v>77388.959999999992</v>
      </c>
      <c r="N50" s="8">
        <f>'Table Games'!M49+Video!G47</f>
        <v>20937.900000000001</v>
      </c>
      <c r="O50" s="8">
        <f>Video!H47</f>
        <v>3435.17</v>
      </c>
      <c r="P50" s="8">
        <f>'Table Games'!N49+Video!I47</f>
        <v>141583.49</v>
      </c>
    </row>
    <row r="51" spans="1:16" ht="15" customHeight="1" x14ac:dyDescent="0.25">
      <c r="A51" s="11">
        <f t="shared" si="1"/>
        <v>44674</v>
      </c>
      <c r="B51" s="8">
        <f>'Table Games'!B50</f>
        <v>109009.5</v>
      </c>
      <c r="C51" s="8">
        <f>'Table Games'!C50</f>
        <v>-821</v>
      </c>
      <c r="D51" s="8">
        <f>'Table Games'!D50</f>
        <v>0</v>
      </c>
      <c r="E51" s="8">
        <f>'Table Games'!E50</f>
        <v>0</v>
      </c>
      <c r="F51" s="8">
        <f>'Table Games'!F50</f>
        <v>0</v>
      </c>
      <c r="G51" s="8">
        <f>'Table Games'!G50</f>
        <v>70</v>
      </c>
      <c r="H51" s="8">
        <f>'Table Games'!H50</f>
        <v>16586</v>
      </c>
      <c r="I51" s="8">
        <f>'Table Games'!I50</f>
        <v>-205</v>
      </c>
      <c r="J51" s="8">
        <f>'Table Games'!J50</f>
        <v>5789</v>
      </c>
      <c r="K51" s="8">
        <f>'Table Games'!K50</f>
        <v>130428.5</v>
      </c>
      <c r="L51" s="8">
        <f>Video!E48</f>
        <v>80031.640000000014</v>
      </c>
      <c r="M51" s="8">
        <f>'Table Games'!L50+Video!F48</f>
        <v>67939.95</v>
      </c>
      <c r="N51" s="8">
        <f>'Table Games'!M50+Video!G48</f>
        <v>20126.8</v>
      </c>
      <c r="O51" s="8">
        <f>Video!H48</f>
        <v>3761.4799999999996</v>
      </c>
      <c r="P51" s="8">
        <f>'Table Games'!N50+Video!I48</f>
        <v>118631.91</v>
      </c>
    </row>
    <row r="52" spans="1:16" ht="15" customHeight="1" x14ac:dyDescent="0.25">
      <c r="A52" s="11">
        <f t="shared" si="1"/>
        <v>44681</v>
      </c>
      <c r="B52" s="8">
        <f>'Table Games'!B51</f>
        <v>35858.5</v>
      </c>
      <c r="C52" s="8">
        <f>'Table Games'!C51</f>
        <v>-9518</v>
      </c>
      <c r="D52" s="8">
        <f>'Table Games'!D51</f>
        <v>0</v>
      </c>
      <c r="E52" s="8">
        <f>'Table Games'!E51</f>
        <v>0</v>
      </c>
      <c r="F52" s="8">
        <f>'Table Games'!F51</f>
        <v>0</v>
      </c>
      <c r="G52" s="8">
        <f>'Table Games'!G51</f>
        <v>60</v>
      </c>
      <c r="H52" s="8">
        <f>'Table Games'!H51</f>
        <v>21203</v>
      </c>
      <c r="I52" s="8">
        <f>'Table Games'!I51</f>
        <v>0</v>
      </c>
      <c r="J52" s="8">
        <f>'Table Games'!J51</f>
        <v>9417</v>
      </c>
      <c r="K52" s="8">
        <f>'Table Games'!K51</f>
        <v>57020.5</v>
      </c>
      <c r="L52" s="8">
        <f>Video!E49</f>
        <v>2433.9200000001583</v>
      </c>
      <c r="M52" s="8">
        <f>'Table Games'!L51+Video!F49</f>
        <v>17982.36</v>
      </c>
      <c r="N52" s="8">
        <f>'Table Games'!M51+Video!G49</f>
        <v>3264.8</v>
      </c>
      <c r="O52" s="8">
        <f>Video!H49</f>
        <v>114.4</v>
      </c>
      <c r="P52" s="8">
        <f>'Table Games'!N51+Video!I49</f>
        <v>38092.86</v>
      </c>
    </row>
    <row r="53" spans="1:16" ht="15" customHeight="1" x14ac:dyDescent="0.25">
      <c r="A53" s="11">
        <f t="shared" si="1"/>
        <v>44688</v>
      </c>
      <c r="B53" s="8">
        <f>'Table Games'!B52</f>
        <v>73356.5</v>
      </c>
      <c r="C53" s="8">
        <f>'Table Games'!C52</f>
        <v>-816</v>
      </c>
      <c r="D53" s="8">
        <f>'Table Games'!D52</f>
        <v>0</v>
      </c>
      <c r="E53" s="8">
        <f>'Table Games'!E52</f>
        <v>400</v>
      </c>
      <c r="F53" s="8">
        <f>'Table Games'!F52</f>
        <v>0</v>
      </c>
      <c r="G53" s="8">
        <f>'Table Games'!G52</f>
        <v>65</v>
      </c>
      <c r="H53" s="8">
        <f>'Table Games'!H52</f>
        <v>3594</v>
      </c>
      <c r="I53" s="8">
        <f>'Table Games'!I52</f>
        <v>0</v>
      </c>
      <c r="J53" s="8">
        <f>'Table Games'!J52</f>
        <v>10925</v>
      </c>
      <c r="K53" s="8">
        <f>'Table Games'!K52</f>
        <v>87524.5</v>
      </c>
      <c r="L53" s="8">
        <f>Video!E50</f>
        <v>159378.10999999999</v>
      </c>
      <c r="M53" s="8">
        <f>'Table Games'!L52+Video!F50</f>
        <v>83633.459999999992</v>
      </c>
      <c r="N53" s="8">
        <f>'Table Games'!M52+Video!G50</f>
        <v>31470.51</v>
      </c>
      <c r="O53" s="8">
        <f>Video!H50</f>
        <v>7490.7800000000007</v>
      </c>
      <c r="P53" s="8">
        <f>'Table Games'!N52+Video!I50</f>
        <v>124307.86</v>
      </c>
    </row>
    <row r="54" spans="1:16" ht="15" customHeight="1" x14ac:dyDescent="0.25">
      <c r="A54" s="11">
        <f t="shared" si="1"/>
        <v>44695</v>
      </c>
      <c r="B54" s="8">
        <f>'Table Games'!B53</f>
        <v>120013.5</v>
      </c>
      <c r="C54" s="8">
        <f>'Table Games'!C53</f>
        <v>2439</v>
      </c>
      <c r="D54" s="8">
        <f>'Table Games'!D53</f>
        <v>0</v>
      </c>
      <c r="E54" s="8">
        <f>'Table Games'!E53</f>
        <v>0</v>
      </c>
      <c r="F54" s="8">
        <f>'Table Games'!F53</f>
        <v>0</v>
      </c>
      <c r="G54" s="8">
        <f>'Table Games'!G53</f>
        <v>80</v>
      </c>
      <c r="H54" s="8">
        <f>'Table Games'!H53</f>
        <v>4553</v>
      </c>
      <c r="I54" s="8">
        <f>'Table Games'!I53</f>
        <v>0</v>
      </c>
      <c r="J54" s="8">
        <f>'Table Games'!J53</f>
        <v>22907</v>
      </c>
      <c r="K54" s="8">
        <f>'Table Games'!K53</f>
        <v>149992.5</v>
      </c>
      <c r="L54" s="8">
        <f>Video!E51</f>
        <v>101728.85000000009</v>
      </c>
      <c r="M54" s="8">
        <f>'Table Games'!L53+Video!F51</f>
        <v>81620.13</v>
      </c>
      <c r="N54" s="8">
        <f>'Table Games'!M53+Video!G51</f>
        <v>24793.54</v>
      </c>
      <c r="O54" s="8">
        <f>Video!H51</f>
        <v>4781.26</v>
      </c>
      <c r="P54" s="8">
        <f>'Table Games'!N53+Video!I51</f>
        <v>140526.42000000001</v>
      </c>
    </row>
    <row r="55" spans="1:16" ht="15" customHeight="1" x14ac:dyDescent="0.25">
      <c r="A55" s="11">
        <f t="shared" si="1"/>
        <v>44702</v>
      </c>
      <c r="B55" s="8">
        <f>'Table Games'!B54</f>
        <v>84743.5</v>
      </c>
      <c r="C55" s="8">
        <f>'Table Games'!C54</f>
        <v>-8974</v>
      </c>
      <c r="D55" s="8">
        <f>'Table Games'!D54</f>
        <v>0</v>
      </c>
      <c r="E55" s="8">
        <f>'Table Games'!E54</f>
        <v>-745</v>
      </c>
      <c r="F55" s="8">
        <f>'Table Games'!F54</f>
        <v>0</v>
      </c>
      <c r="G55" s="8">
        <f>'Table Games'!G54</f>
        <v>55</v>
      </c>
      <c r="H55" s="8">
        <f>'Table Games'!H54</f>
        <v>18338</v>
      </c>
      <c r="I55" s="8">
        <f>'Table Games'!I54</f>
        <v>0</v>
      </c>
      <c r="J55" s="8">
        <f>'Table Games'!J54</f>
        <v>14098</v>
      </c>
      <c r="K55" s="8">
        <f>'Table Games'!K54</f>
        <v>107515.5</v>
      </c>
      <c r="L55" s="8">
        <f>Video!E52</f>
        <v>94593.760000000009</v>
      </c>
      <c r="M55" s="8">
        <f>'Table Games'!L54+Video!F52</f>
        <v>66308.38</v>
      </c>
      <c r="N55" s="8">
        <f>'Table Games'!M54+Video!G52</f>
        <v>21456.73</v>
      </c>
      <c r="O55" s="8">
        <f>Video!H52</f>
        <v>4445.91</v>
      </c>
      <c r="P55" s="8">
        <f>'Table Games'!N54+Video!I52</f>
        <v>109898.24000000002</v>
      </c>
    </row>
    <row r="56" spans="1:16" ht="15" customHeight="1" x14ac:dyDescent="0.25">
      <c r="A56" s="11">
        <f t="shared" si="1"/>
        <v>44709</v>
      </c>
      <c r="B56" s="8">
        <f>'Table Games'!B55</f>
        <v>415152</v>
      </c>
      <c r="C56" s="8">
        <f>'Table Games'!C55</f>
        <v>8441</v>
      </c>
      <c r="D56" s="8">
        <f>'Table Games'!D55</f>
        <v>0</v>
      </c>
      <c r="E56" s="8">
        <f>'Table Games'!E55</f>
        <v>0</v>
      </c>
      <c r="F56" s="8">
        <f>'Table Games'!F55</f>
        <v>0</v>
      </c>
      <c r="G56" s="8">
        <f>'Table Games'!G55</f>
        <v>70</v>
      </c>
      <c r="H56" s="8">
        <f>'Table Games'!H55</f>
        <v>13929</v>
      </c>
      <c r="I56" s="8">
        <f>'Table Games'!I55</f>
        <v>4875</v>
      </c>
      <c r="J56" s="8">
        <f>'Table Games'!J55</f>
        <v>16513</v>
      </c>
      <c r="K56" s="8">
        <f>'Table Games'!K55</f>
        <v>458980</v>
      </c>
      <c r="L56" s="8">
        <f>Video!E53</f>
        <v>167968.85000000009</v>
      </c>
      <c r="M56" s="8">
        <f>'Table Games'!L55+Video!F53</f>
        <v>198162.81</v>
      </c>
      <c r="N56" s="8">
        <f>'Table Games'!M55+Video!G53</f>
        <v>51503.7</v>
      </c>
      <c r="O56" s="8">
        <f>Video!H53</f>
        <v>7894.53</v>
      </c>
      <c r="P56" s="8">
        <f>'Table Games'!N55+Video!I53</f>
        <v>369387.81</v>
      </c>
    </row>
    <row r="57" spans="1:16" ht="15" customHeight="1" x14ac:dyDescent="0.25">
      <c r="A57" s="11">
        <f t="shared" si="1"/>
        <v>44716</v>
      </c>
      <c r="B57" s="8">
        <f>'Table Games'!B56</f>
        <v>80850.5</v>
      </c>
      <c r="C57" s="8">
        <f>'Table Games'!C56</f>
        <v>28889</v>
      </c>
      <c r="D57" s="8">
        <f>'Table Games'!D56</f>
        <v>0</v>
      </c>
      <c r="E57" s="8">
        <f>'Table Games'!E56</f>
        <v>-88.75</v>
      </c>
      <c r="F57" s="8">
        <f>'Table Games'!F56</f>
        <v>0</v>
      </c>
      <c r="G57" s="8">
        <f>'Table Games'!G56</f>
        <v>0</v>
      </c>
      <c r="H57" s="8">
        <f>'Table Games'!H56</f>
        <v>-56033</v>
      </c>
      <c r="I57" s="8">
        <f>'Table Games'!I56</f>
        <v>2425</v>
      </c>
      <c r="J57" s="8">
        <f>'Table Games'!J56</f>
        <v>7995</v>
      </c>
      <c r="K57" s="8">
        <f>'Table Games'!K56</f>
        <v>64037.75</v>
      </c>
      <c r="L57" s="8">
        <f>Video!E54</f>
        <v>-16452.769999999786</v>
      </c>
      <c r="M57" s="8">
        <f>'Table Games'!L56+Video!F54</f>
        <v>13288.340000000002</v>
      </c>
      <c r="N57" s="8">
        <f>'Table Games'!M56+Video!G54</f>
        <v>404.92000000000007</v>
      </c>
      <c r="O57" s="8">
        <f>Video!H54</f>
        <v>-773.28</v>
      </c>
      <c r="P57" s="8">
        <f>'Table Games'!N56+Video!I54</f>
        <v>34665</v>
      </c>
    </row>
    <row r="58" spans="1:16" ht="15" customHeight="1" x14ac:dyDescent="0.25">
      <c r="A58" s="11">
        <f t="shared" si="1"/>
        <v>44723</v>
      </c>
      <c r="B58" s="8">
        <f>'Table Games'!B57</f>
        <v>82674</v>
      </c>
      <c r="C58" s="8">
        <f>'Table Games'!C57</f>
        <v>34766</v>
      </c>
      <c r="D58" s="8">
        <f>'Table Games'!D57</f>
        <v>0</v>
      </c>
      <c r="E58" s="8">
        <f>'Table Games'!E57</f>
        <v>0</v>
      </c>
      <c r="F58" s="8">
        <f>'Table Games'!F57</f>
        <v>0</v>
      </c>
      <c r="G58" s="8">
        <f>'Table Games'!G57</f>
        <v>0</v>
      </c>
      <c r="H58" s="8">
        <f>'Table Games'!H57</f>
        <v>-50</v>
      </c>
      <c r="I58" s="8">
        <f>'Table Games'!I57</f>
        <v>0</v>
      </c>
      <c r="J58" s="8">
        <f>'Table Games'!J57</f>
        <v>1934</v>
      </c>
      <c r="K58" s="8">
        <f>'Table Games'!K57</f>
        <v>119324</v>
      </c>
      <c r="L58" s="8">
        <f>Video!E55</f>
        <v>94908.160000000033</v>
      </c>
      <c r="M58" s="8">
        <f>'Table Games'!L57+Video!F55</f>
        <v>69964.149999999994</v>
      </c>
      <c r="N58" s="8">
        <f>'Table Games'!M57+Video!G55</f>
        <v>22100.59</v>
      </c>
      <c r="O58" s="8">
        <f>Video!H55</f>
        <v>4460.68</v>
      </c>
      <c r="P58" s="8">
        <f>'Table Games'!N57+Video!I55</f>
        <v>117706.74</v>
      </c>
    </row>
    <row r="59" spans="1:16" ht="15" customHeight="1" x14ac:dyDescent="0.25">
      <c r="A59" s="11">
        <f t="shared" si="1"/>
        <v>44730</v>
      </c>
      <c r="B59" s="8">
        <f>'Table Games'!B58</f>
        <v>74358.5</v>
      </c>
      <c r="C59" s="8">
        <f>'Table Games'!C58</f>
        <v>7458</v>
      </c>
      <c r="D59" s="8">
        <f>'Table Games'!D58</f>
        <v>0</v>
      </c>
      <c r="E59" s="8">
        <f>'Table Games'!E58</f>
        <v>0</v>
      </c>
      <c r="F59" s="8">
        <f>'Table Games'!F58</f>
        <v>0</v>
      </c>
      <c r="G59" s="8">
        <f>'Table Games'!G58</f>
        <v>0</v>
      </c>
      <c r="H59" s="8">
        <f>'Table Games'!H58</f>
        <v>15347</v>
      </c>
      <c r="I59" s="8">
        <f>'Table Games'!I58</f>
        <v>0</v>
      </c>
      <c r="J59" s="8">
        <f>'Table Games'!J58</f>
        <v>6948</v>
      </c>
      <c r="K59" s="8">
        <f>'Table Games'!K58</f>
        <v>104111.5</v>
      </c>
      <c r="L59" s="8">
        <f>Video!E56</f>
        <v>109343.35999999999</v>
      </c>
      <c r="M59" s="8">
        <f>'Table Games'!L58+Video!F56</f>
        <v>70597.05</v>
      </c>
      <c r="N59" s="8">
        <f>'Table Games'!M58+Video!G56</f>
        <v>23793.949999999997</v>
      </c>
      <c r="O59" s="8">
        <f>Video!H56</f>
        <v>5139.1500000000005</v>
      </c>
      <c r="P59" s="8">
        <f>'Table Games'!N58+Video!I56</f>
        <v>113924.70999999999</v>
      </c>
    </row>
    <row r="60" spans="1:16" ht="15" customHeight="1" x14ac:dyDescent="0.25">
      <c r="A60" s="11">
        <f t="shared" si="1"/>
        <v>44737</v>
      </c>
      <c r="B60" s="8">
        <f>'Table Games'!B59</f>
        <v>254121</v>
      </c>
      <c r="C60" s="8">
        <f>'Table Games'!C59</f>
        <v>8706</v>
      </c>
      <c r="D60" s="8">
        <f>'Table Games'!D59</f>
        <v>0</v>
      </c>
      <c r="E60" s="8">
        <f>'Table Games'!E59</f>
        <v>0</v>
      </c>
      <c r="F60" s="8">
        <f>'Table Games'!F59</f>
        <v>0</v>
      </c>
      <c r="G60" s="8">
        <f>'Table Games'!G59</f>
        <v>0</v>
      </c>
      <c r="H60" s="8">
        <f>'Table Games'!H59</f>
        <v>-19637</v>
      </c>
      <c r="I60" s="8">
        <f>'Table Games'!I59</f>
        <v>0</v>
      </c>
      <c r="J60" s="8">
        <f>'Table Games'!J59</f>
        <v>4143</v>
      </c>
      <c r="K60" s="8">
        <f>'Table Games'!K59</f>
        <v>247333</v>
      </c>
      <c r="L60" s="8">
        <f>Video!E57</f>
        <v>140602.20000000019</v>
      </c>
      <c r="M60" s="8">
        <f>'Table Games'!L59+Video!F57</f>
        <v>124816.69</v>
      </c>
      <c r="N60" s="8">
        <f>'Table Games'!M59+Video!G57</f>
        <v>36269.03</v>
      </c>
      <c r="O60" s="8">
        <f>Video!H57</f>
        <v>6608.3</v>
      </c>
      <c r="P60" s="8">
        <f>'Table Games'!N59+Video!I57</f>
        <v>220241.18000000002</v>
      </c>
    </row>
    <row r="61" spans="1:16" ht="15" customHeight="1" x14ac:dyDescent="0.25">
      <c r="A61" s="11" t="s">
        <v>35</v>
      </c>
      <c r="B61" s="8">
        <f>'Table Games'!B60</f>
        <v>19043</v>
      </c>
      <c r="C61" s="8">
        <f>'Table Games'!C60</f>
        <v>16034</v>
      </c>
      <c r="D61" s="8">
        <f>'Table Games'!D60</f>
        <v>0</v>
      </c>
      <c r="E61" s="8">
        <f>'Table Games'!E60</f>
        <v>0</v>
      </c>
      <c r="F61" s="8">
        <f>'Table Games'!F60</f>
        <v>0</v>
      </c>
      <c r="G61" s="8">
        <f>'Table Games'!G60</f>
        <v>0</v>
      </c>
      <c r="H61" s="8">
        <f>'Table Games'!H60</f>
        <v>2427</v>
      </c>
      <c r="I61" s="8">
        <f>'Table Games'!I60</f>
        <v>4305</v>
      </c>
      <c r="J61" s="8">
        <f>'Table Games'!J60</f>
        <v>8491</v>
      </c>
      <c r="K61" s="8">
        <f>'Table Games'!K60</f>
        <v>50300</v>
      </c>
      <c r="L61" s="8">
        <f>Video!E58</f>
        <v>73266.519999999902</v>
      </c>
      <c r="M61" s="8">
        <f>'Table Games'!L60+Video!F58</f>
        <v>41465.96</v>
      </c>
      <c r="N61" s="8">
        <f>'Table Games'!M60+Video!G58</f>
        <v>14970.31</v>
      </c>
      <c r="O61" s="8">
        <f>Video!H58</f>
        <v>3443.52</v>
      </c>
      <c r="P61" s="8">
        <f>'Table Games'!N60+Video!I58</f>
        <v>63686.73</v>
      </c>
    </row>
    <row r="62" spans="1:16" ht="15" customHeight="1" x14ac:dyDescent="0.25">
      <c r="A62" s="11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</row>
    <row r="63" spans="1:16" ht="15" customHeight="1" thickBot="1" x14ac:dyDescent="0.3">
      <c r="B63" s="9">
        <f t="shared" ref="B63:P63" si="2">SUM(B9:B62)</f>
        <v>5664251</v>
      </c>
      <c r="C63" s="9">
        <f t="shared" si="2"/>
        <v>722018</v>
      </c>
      <c r="D63" s="9">
        <f t="shared" si="2"/>
        <v>0</v>
      </c>
      <c r="E63" s="9">
        <f t="shared" si="2"/>
        <v>62632</v>
      </c>
      <c r="F63" s="9">
        <f t="shared" si="2"/>
        <v>289</v>
      </c>
      <c r="G63" s="9">
        <f t="shared" si="2"/>
        <v>525</v>
      </c>
      <c r="H63" s="9">
        <f t="shared" si="2"/>
        <v>776483</v>
      </c>
      <c r="I63" s="9">
        <f t="shared" si="2"/>
        <v>109974</v>
      </c>
      <c r="J63" s="9">
        <f t="shared" si="2"/>
        <v>526379</v>
      </c>
      <c r="K63" s="9">
        <f t="shared" si="2"/>
        <v>7862551</v>
      </c>
      <c r="L63" s="9">
        <f t="shared" si="2"/>
        <v>5211279.1800000016</v>
      </c>
      <c r="M63" s="9">
        <f t="shared" si="2"/>
        <v>4234825.8899999997</v>
      </c>
      <c r="N63" s="9">
        <f t="shared" si="2"/>
        <v>1279045.1499999999</v>
      </c>
      <c r="O63" s="9">
        <f t="shared" si="2"/>
        <v>244930.11000000002</v>
      </c>
      <c r="P63" s="9">
        <f t="shared" si="2"/>
        <v>7315029.0300000012</v>
      </c>
    </row>
    <row r="64" spans="1:16" ht="15" customHeight="1" thickTop="1" x14ac:dyDescent="0.25"/>
    <row r="65" spans="1:1" ht="15" customHeight="1" x14ac:dyDescent="0.25">
      <c r="A65" s="18" t="s">
        <v>31</v>
      </c>
    </row>
    <row r="66" spans="1:1" ht="15" customHeight="1" x14ac:dyDescent="0.25">
      <c r="A66" s="18" t="s">
        <v>36</v>
      </c>
    </row>
  </sheetData>
  <mergeCells count="4">
    <mergeCell ref="A1:P1"/>
    <mergeCell ref="A2:P2"/>
    <mergeCell ref="A4:P4"/>
    <mergeCell ref="A3:P3"/>
  </mergeCells>
  <pageMargins left="0.25" right="0.25" top="0.5" bottom="0.5" header="0" footer="0"/>
  <pageSetup scale="53" orientation="landscape" r:id="rId1"/>
  <headerFooter>
    <oddFooter>&amp;L&amp;"Arial,Regular"&amp;8&amp;F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5"/>
  <sheetViews>
    <sheetView zoomScaleNormal="100" workbookViewId="0">
      <pane ySplit="5" topLeftCell="A34" activePane="bottomLeft" state="frozen"/>
      <selection pane="bottomLeft" activeCell="A62" sqref="A62"/>
    </sheetView>
  </sheetViews>
  <sheetFormatPr defaultRowHeight="15" customHeight="1" x14ac:dyDescent="0.25"/>
  <cols>
    <col min="1" max="1" width="12.7109375" style="1" customWidth="1"/>
    <col min="2" max="2" width="15" style="1" bestFit="1" customWidth="1"/>
    <col min="3" max="3" width="13.28515625" style="1" bestFit="1" customWidth="1"/>
    <col min="4" max="4" width="13.28515625" style="1" customWidth="1"/>
    <col min="5" max="5" width="14.85546875" style="1" customWidth="1"/>
    <col min="6" max="7" width="13.42578125" style="1" bestFit="1" customWidth="1"/>
    <col min="8" max="10" width="13.28515625" style="1" bestFit="1" customWidth="1"/>
    <col min="11" max="12" width="15" style="1" bestFit="1" customWidth="1"/>
    <col min="13" max="13" width="14.28515625" style="1" bestFit="1" customWidth="1"/>
    <col min="14" max="14" width="15" style="1" bestFit="1" customWidth="1"/>
    <col min="15" max="15" width="10.7109375" style="1" customWidth="1"/>
    <col min="16" max="16384" width="9.140625" style="1"/>
  </cols>
  <sheetData>
    <row r="1" spans="1:14" s="2" customFormat="1" ht="60" x14ac:dyDescent="0.25">
      <c r="B1" s="3" t="s">
        <v>25</v>
      </c>
      <c r="C1" s="4" t="s">
        <v>9</v>
      </c>
      <c r="D1" s="4" t="s">
        <v>28</v>
      </c>
      <c r="E1" s="3" t="s">
        <v>10</v>
      </c>
      <c r="F1" s="3" t="s">
        <v>11</v>
      </c>
      <c r="G1" s="3" t="s">
        <v>12</v>
      </c>
      <c r="H1" s="3" t="s">
        <v>13</v>
      </c>
      <c r="I1" s="3" t="s">
        <v>14</v>
      </c>
      <c r="J1" s="3" t="s">
        <v>15</v>
      </c>
      <c r="K1" s="3" t="s">
        <v>16</v>
      </c>
      <c r="L1" s="3" t="s">
        <v>17</v>
      </c>
      <c r="M1" s="3" t="s">
        <v>18</v>
      </c>
      <c r="N1" s="3" t="s">
        <v>19</v>
      </c>
    </row>
    <row r="2" spans="1:14" s="2" customFormat="1" ht="15" customHeight="1" x14ac:dyDescent="0.25">
      <c r="B2" s="5">
        <v>22</v>
      </c>
      <c r="C2" s="10">
        <v>2</v>
      </c>
      <c r="D2" s="10">
        <v>1</v>
      </c>
      <c r="E2" s="5">
        <v>1</v>
      </c>
      <c r="F2" s="5">
        <v>0</v>
      </c>
      <c r="G2" s="5"/>
      <c r="H2" s="5">
        <v>2</v>
      </c>
      <c r="I2" s="5">
        <v>1</v>
      </c>
      <c r="J2" s="5">
        <v>2</v>
      </c>
      <c r="K2" s="5">
        <f>SUM(B2:J2)</f>
        <v>31</v>
      </c>
      <c r="L2" s="6"/>
      <c r="M2" s="6"/>
      <c r="N2" s="6"/>
    </row>
    <row r="3" spans="1:14" s="2" customFormat="1" ht="15" customHeight="1" x14ac:dyDescent="0.25">
      <c r="B3" s="6"/>
      <c r="C3" s="7"/>
      <c r="D3" s="7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" customHeight="1" x14ac:dyDescent="0.25">
      <c r="A4" s="1" t="s">
        <v>32</v>
      </c>
      <c r="B4" s="16">
        <v>4836670.5</v>
      </c>
      <c r="C4" s="16">
        <v>661741</v>
      </c>
      <c r="D4" s="16">
        <v>4897</v>
      </c>
      <c r="E4" s="16">
        <v>96508.75</v>
      </c>
      <c r="F4" s="16">
        <v>0</v>
      </c>
      <c r="G4" s="16">
        <v>0</v>
      </c>
      <c r="H4" s="16">
        <v>800881</v>
      </c>
      <c r="I4" s="16">
        <v>-44672</v>
      </c>
      <c r="J4" s="16">
        <v>325663</v>
      </c>
      <c r="K4" s="16">
        <v>6681689.25</v>
      </c>
      <c r="L4" s="16">
        <v>2004506.7900000005</v>
      </c>
      <c r="M4" s="16">
        <v>334084.52999999997</v>
      </c>
      <c r="N4" s="16">
        <v>4343097.9299999988</v>
      </c>
    </row>
    <row r="6" spans="1:14" ht="15" customHeight="1" x14ac:dyDescent="0.25">
      <c r="A6" s="22" t="s">
        <v>29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4" ht="15" customHeight="1" x14ac:dyDescent="0.25">
      <c r="A7" s="11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4" ht="15" customHeight="1" x14ac:dyDescent="0.25">
      <c r="A8" s="11" t="s">
        <v>30</v>
      </c>
      <c r="B8" s="8">
        <v>94097.5</v>
      </c>
      <c r="C8" s="8">
        <v>7691</v>
      </c>
      <c r="D8" s="8">
        <v>0</v>
      </c>
      <c r="E8" s="8">
        <v>0</v>
      </c>
      <c r="F8" s="8">
        <v>0</v>
      </c>
      <c r="G8" s="8">
        <v>0</v>
      </c>
      <c r="H8" s="8">
        <v>5799</v>
      </c>
      <c r="I8" s="8">
        <v>0</v>
      </c>
      <c r="J8" s="8">
        <v>5157</v>
      </c>
      <c r="K8" s="8">
        <f t="shared" ref="K8" si="0">SUM(B8:J8)</f>
        <v>112744.5</v>
      </c>
      <c r="L8" s="8">
        <f t="shared" ref="L8:L60" si="1">ROUND($K8*0.3,2)</f>
        <v>33823.35</v>
      </c>
      <c r="M8" s="8">
        <f t="shared" ref="M8:M60" si="2">ROUND($K8*0.05,2)</f>
        <v>5637.23</v>
      </c>
      <c r="N8" s="8">
        <f>ROUND($K8*0.65,2)-0.01</f>
        <v>73283.92</v>
      </c>
    </row>
    <row r="9" spans="1:14" ht="15" customHeight="1" x14ac:dyDescent="0.25">
      <c r="A9" s="11">
        <v>44387</v>
      </c>
      <c r="B9" s="8">
        <v>234953</v>
      </c>
      <c r="C9" s="8">
        <v>128249</v>
      </c>
      <c r="D9" s="8">
        <v>0</v>
      </c>
      <c r="E9" s="8">
        <v>0</v>
      </c>
      <c r="F9" s="8">
        <v>0</v>
      </c>
      <c r="G9" s="8">
        <v>0</v>
      </c>
      <c r="H9" s="8">
        <v>31399</v>
      </c>
      <c r="I9" s="8">
        <v>0</v>
      </c>
      <c r="J9" s="8">
        <v>17918</v>
      </c>
      <c r="K9" s="8">
        <f t="shared" ref="K9" si="3">SUM(B9:J9)</f>
        <v>412519</v>
      </c>
      <c r="L9" s="8">
        <f t="shared" si="1"/>
        <v>123755.7</v>
      </c>
      <c r="M9" s="8">
        <f t="shared" si="2"/>
        <v>20625.95</v>
      </c>
      <c r="N9" s="8">
        <f>ROUND($K9*0.65,2)</f>
        <v>268137.34999999998</v>
      </c>
    </row>
    <row r="10" spans="1:14" ht="15" customHeight="1" x14ac:dyDescent="0.25">
      <c r="A10" s="11">
        <f t="shared" ref="A10:A59" si="4">A9+7</f>
        <v>44394</v>
      </c>
      <c r="B10" s="8">
        <v>177906.5</v>
      </c>
      <c r="C10" s="8">
        <v>8691</v>
      </c>
      <c r="D10" s="8">
        <v>0</v>
      </c>
      <c r="E10" s="8">
        <v>14830</v>
      </c>
      <c r="F10" s="8">
        <v>0</v>
      </c>
      <c r="G10" s="8">
        <v>0</v>
      </c>
      <c r="H10" s="8">
        <v>26430</v>
      </c>
      <c r="I10" s="8">
        <v>9057</v>
      </c>
      <c r="J10" s="8">
        <v>3866</v>
      </c>
      <c r="K10" s="8">
        <f t="shared" ref="K10" si="5">SUM(B10:J10)</f>
        <v>240780.5</v>
      </c>
      <c r="L10" s="8">
        <f t="shared" si="1"/>
        <v>72234.149999999994</v>
      </c>
      <c r="M10" s="8">
        <f t="shared" si="2"/>
        <v>12039.03</v>
      </c>
      <c r="N10" s="8">
        <f>ROUND($K10*0.65,2)-0.01</f>
        <v>156507.31999999998</v>
      </c>
    </row>
    <row r="11" spans="1:14" ht="15" customHeight="1" x14ac:dyDescent="0.25">
      <c r="A11" s="11">
        <f t="shared" si="4"/>
        <v>44401</v>
      </c>
      <c r="B11" s="8">
        <v>29716.5</v>
      </c>
      <c r="C11" s="8">
        <v>18610</v>
      </c>
      <c r="D11" s="8">
        <v>0</v>
      </c>
      <c r="E11" s="8">
        <v>-920</v>
      </c>
      <c r="F11" s="8">
        <v>0</v>
      </c>
      <c r="G11" s="8">
        <v>0</v>
      </c>
      <c r="H11" s="8">
        <v>19790</v>
      </c>
      <c r="I11" s="8">
        <v>0</v>
      </c>
      <c r="J11" s="8">
        <v>16063</v>
      </c>
      <c r="K11" s="8">
        <f t="shared" ref="K11" si="6">SUM(B11:J11)</f>
        <v>83259.5</v>
      </c>
      <c r="L11" s="8">
        <f t="shared" si="1"/>
        <v>24977.85</v>
      </c>
      <c r="M11" s="8">
        <f t="shared" si="2"/>
        <v>4162.9799999999996</v>
      </c>
      <c r="N11" s="8">
        <f>ROUND($K11*0.65,2)-0.01</f>
        <v>54118.67</v>
      </c>
    </row>
    <row r="12" spans="1:14" ht="15" customHeight="1" x14ac:dyDescent="0.25">
      <c r="A12" s="11">
        <f t="shared" si="4"/>
        <v>44408</v>
      </c>
      <c r="B12" s="8">
        <v>217716</v>
      </c>
      <c r="C12" s="8">
        <v>41261</v>
      </c>
      <c r="D12" s="8">
        <v>0</v>
      </c>
      <c r="E12" s="8">
        <v>1000</v>
      </c>
      <c r="F12" s="8">
        <v>0</v>
      </c>
      <c r="G12" s="8">
        <v>0</v>
      </c>
      <c r="H12" s="8">
        <v>25210</v>
      </c>
      <c r="I12" s="8">
        <v>2255</v>
      </c>
      <c r="J12" s="8">
        <v>14073</v>
      </c>
      <c r="K12" s="8">
        <f t="shared" ref="K12" si="7">SUM(B12:J12)</f>
        <v>301515</v>
      </c>
      <c r="L12" s="8">
        <f t="shared" si="1"/>
        <v>90454.5</v>
      </c>
      <c r="M12" s="8">
        <f t="shared" si="2"/>
        <v>15075.75</v>
      </c>
      <c r="N12" s="8">
        <f>ROUND($K12*0.65,2)</f>
        <v>195984.75</v>
      </c>
    </row>
    <row r="13" spans="1:14" ht="15" customHeight="1" x14ac:dyDescent="0.25">
      <c r="A13" s="11">
        <f t="shared" si="4"/>
        <v>44415</v>
      </c>
      <c r="B13" s="8">
        <v>115008.5</v>
      </c>
      <c r="C13" s="8">
        <v>-5842</v>
      </c>
      <c r="D13" s="8">
        <v>0</v>
      </c>
      <c r="E13" s="8">
        <v>0</v>
      </c>
      <c r="F13" s="8">
        <v>0</v>
      </c>
      <c r="G13" s="8">
        <v>0</v>
      </c>
      <c r="H13" s="8">
        <v>11696</v>
      </c>
      <c r="I13" s="8">
        <v>0</v>
      </c>
      <c r="J13" s="8">
        <v>4992</v>
      </c>
      <c r="K13" s="8">
        <f t="shared" ref="K13" si="8">SUM(B13:J13)</f>
        <v>125854.5</v>
      </c>
      <c r="L13" s="8">
        <f t="shared" si="1"/>
        <v>37756.35</v>
      </c>
      <c r="M13" s="8">
        <f t="shared" si="2"/>
        <v>6292.73</v>
      </c>
      <c r="N13" s="8">
        <f>ROUND($K13*0.65,2)-0.01</f>
        <v>81805.42</v>
      </c>
    </row>
    <row r="14" spans="1:14" ht="15" customHeight="1" x14ac:dyDescent="0.25">
      <c r="A14" s="11">
        <f t="shared" si="4"/>
        <v>44422</v>
      </c>
      <c r="B14" s="8">
        <v>64094.5</v>
      </c>
      <c r="C14" s="8">
        <v>19783</v>
      </c>
      <c r="D14" s="8">
        <v>0</v>
      </c>
      <c r="E14" s="8">
        <v>0</v>
      </c>
      <c r="F14" s="8">
        <v>0</v>
      </c>
      <c r="G14" s="8">
        <v>0</v>
      </c>
      <c r="H14" s="8">
        <v>15133</v>
      </c>
      <c r="I14" s="8">
        <v>-4840</v>
      </c>
      <c r="J14" s="8">
        <v>14359</v>
      </c>
      <c r="K14" s="8">
        <f t="shared" ref="K14" si="9">SUM(B14:J14)</f>
        <v>108529.5</v>
      </c>
      <c r="L14" s="8">
        <f t="shared" si="1"/>
        <v>32558.85</v>
      </c>
      <c r="M14" s="8">
        <f t="shared" si="2"/>
        <v>5426.48</v>
      </c>
      <c r="N14" s="8">
        <f>ROUND($K14*0.65,2)-0.01</f>
        <v>70544.17</v>
      </c>
    </row>
    <row r="15" spans="1:14" ht="15" customHeight="1" x14ac:dyDescent="0.25">
      <c r="A15" s="11">
        <f t="shared" si="4"/>
        <v>44429</v>
      </c>
      <c r="B15" s="8">
        <v>185049</v>
      </c>
      <c r="C15" s="8">
        <v>-9826</v>
      </c>
      <c r="D15" s="8">
        <v>0</v>
      </c>
      <c r="E15" s="8">
        <v>0</v>
      </c>
      <c r="F15" s="8">
        <v>0</v>
      </c>
      <c r="G15" s="8">
        <v>0</v>
      </c>
      <c r="H15" s="8">
        <v>31214</v>
      </c>
      <c r="I15" s="8">
        <v>-15015</v>
      </c>
      <c r="J15" s="8">
        <v>3096</v>
      </c>
      <c r="K15" s="8">
        <f t="shared" ref="K15" si="10">SUM(B15:J15)</f>
        <v>194518</v>
      </c>
      <c r="L15" s="8">
        <f t="shared" si="1"/>
        <v>58355.4</v>
      </c>
      <c r="M15" s="8">
        <f t="shared" si="2"/>
        <v>9725.9</v>
      </c>
      <c r="N15" s="8">
        <f>ROUND($K15*0.65,2)</f>
        <v>126436.7</v>
      </c>
    </row>
    <row r="16" spans="1:14" ht="15" customHeight="1" x14ac:dyDescent="0.25">
      <c r="A16" s="11">
        <f t="shared" si="4"/>
        <v>44436</v>
      </c>
      <c r="B16" s="8">
        <v>48865.5</v>
      </c>
      <c r="C16" s="8">
        <v>7681</v>
      </c>
      <c r="D16" s="8">
        <v>0</v>
      </c>
      <c r="E16" s="8">
        <v>0</v>
      </c>
      <c r="F16" s="8">
        <v>0</v>
      </c>
      <c r="G16" s="8">
        <v>0</v>
      </c>
      <c r="H16" s="8">
        <v>26375</v>
      </c>
      <c r="I16" s="8">
        <v>65775</v>
      </c>
      <c r="J16" s="8">
        <v>316</v>
      </c>
      <c r="K16" s="8">
        <f t="shared" ref="K16" si="11">SUM(B16:J16)</f>
        <v>149012.5</v>
      </c>
      <c r="L16" s="8">
        <f t="shared" si="1"/>
        <v>44703.75</v>
      </c>
      <c r="M16" s="8">
        <f t="shared" si="2"/>
        <v>7450.63</v>
      </c>
      <c r="N16" s="8">
        <f>ROUND($K16*0.65,2)-0.01</f>
        <v>96858.12000000001</v>
      </c>
    </row>
    <row r="17" spans="1:14" ht="15" customHeight="1" x14ac:dyDescent="0.25">
      <c r="A17" s="11">
        <f t="shared" si="4"/>
        <v>44443</v>
      </c>
      <c r="B17" s="8">
        <v>-654</v>
      </c>
      <c r="C17" s="8">
        <v>38979</v>
      </c>
      <c r="D17" s="8">
        <v>0</v>
      </c>
      <c r="E17" s="8">
        <v>0</v>
      </c>
      <c r="F17" s="8">
        <v>0</v>
      </c>
      <c r="G17" s="8">
        <v>0</v>
      </c>
      <c r="H17" s="8">
        <v>-99470</v>
      </c>
      <c r="I17" s="8">
        <v>0</v>
      </c>
      <c r="J17" s="8">
        <v>1017</v>
      </c>
      <c r="K17" s="8">
        <f t="shared" ref="K17" si="12">SUM(B17:J17)</f>
        <v>-60128</v>
      </c>
      <c r="L17" s="8">
        <f t="shared" si="1"/>
        <v>-18038.400000000001</v>
      </c>
      <c r="M17" s="8">
        <f t="shared" si="2"/>
        <v>-3006.4</v>
      </c>
      <c r="N17" s="8">
        <f t="shared" ref="N17:N23" si="13">ROUND($K17*0.65,2)</f>
        <v>-39083.199999999997</v>
      </c>
    </row>
    <row r="18" spans="1:14" ht="15" customHeight="1" x14ac:dyDescent="0.25">
      <c r="A18" s="11">
        <f t="shared" si="4"/>
        <v>44450</v>
      </c>
      <c r="B18" s="8">
        <v>-389.5</v>
      </c>
      <c r="C18" s="8">
        <v>23849</v>
      </c>
      <c r="D18" s="8">
        <v>0</v>
      </c>
      <c r="E18" s="8">
        <v>3322.5</v>
      </c>
      <c r="F18" s="8">
        <v>0</v>
      </c>
      <c r="G18" s="8">
        <v>0</v>
      </c>
      <c r="H18" s="8">
        <v>29823</v>
      </c>
      <c r="I18" s="8">
        <v>0</v>
      </c>
      <c r="J18" s="8">
        <v>11660</v>
      </c>
      <c r="K18" s="8">
        <f t="shared" ref="K18" si="14">SUM(B18:J18)</f>
        <v>68265</v>
      </c>
      <c r="L18" s="8">
        <f t="shared" si="1"/>
        <v>20479.5</v>
      </c>
      <c r="M18" s="8">
        <f t="shared" si="2"/>
        <v>3413.25</v>
      </c>
      <c r="N18" s="8">
        <f t="shared" si="13"/>
        <v>44372.25</v>
      </c>
    </row>
    <row r="19" spans="1:14" ht="15" customHeight="1" x14ac:dyDescent="0.25">
      <c r="A19" s="11">
        <f t="shared" si="4"/>
        <v>44457</v>
      </c>
      <c r="B19" s="8">
        <v>602904</v>
      </c>
      <c r="C19" s="8">
        <v>41664</v>
      </c>
      <c r="D19" s="8">
        <v>0</v>
      </c>
      <c r="E19" s="8">
        <v>0</v>
      </c>
      <c r="F19" s="8">
        <v>0</v>
      </c>
      <c r="G19" s="8">
        <v>0</v>
      </c>
      <c r="H19" s="8">
        <v>11164</v>
      </c>
      <c r="I19" s="8">
        <v>34265</v>
      </c>
      <c r="J19" s="8">
        <v>8141</v>
      </c>
      <c r="K19" s="8">
        <f t="shared" ref="K19" si="15">SUM(B19:J19)</f>
        <v>698138</v>
      </c>
      <c r="L19" s="8">
        <f t="shared" si="1"/>
        <v>209441.4</v>
      </c>
      <c r="M19" s="8">
        <f t="shared" si="2"/>
        <v>34906.9</v>
      </c>
      <c r="N19" s="8">
        <f t="shared" si="13"/>
        <v>453789.7</v>
      </c>
    </row>
    <row r="20" spans="1:14" ht="15" customHeight="1" x14ac:dyDescent="0.25">
      <c r="A20" s="11">
        <f t="shared" si="4"/>
        <v>44464</v>
      </c>
      <c r="B20" s="8">
        <v>104226.5</v>
      </c>
      <c r="C20" s="8">
        <v>-2013</v>
      </c>
      <c r="D20" s="8">
        <v>0</v>
      </c>
      <c r="E20" s="8">
        <v>-342.5</v>
      </c>
      <c r="F20" s="8">
        <v>0</v>
      </c>
      <c r="G20" s="8">
        <v>0</v>
      </c>
      <c r="H20" s="8">
        <v>44209</v>
      </c>
      <c r="I20" s="8">
        <v>0</v>
      </c>
      <c r="J20" s="8">
        <v>-3296</v>
      </c>
      <c r="K20" s="8">
        <f t="shared" ref="K20" si="16">SUM(B20:J20)</f>
        <v>142784</v>
      </c>
      <c r="L20" s="8">
        <f t="shared" si="1"/>
        <v>42835.199999999997</v>
      </c>
      <c r="M20" s="8">
        <f t="shared" si="2"/>
        <v>7139.2</v>
      </c>
      <c r="N20" s="8">
        <f t="shared" si="13"/>
        <v>92809.600000000006</v>
      </c>
    </row>
    <row r="21" spans="1:14" ht="15" customHeight="1" x14ac:dyDescent="0.25">
      <c r="A21" s="11">
        <f t="shared" si="4"/>
        <v>44471</v>
      </c>
      <c r="B21" s="8">
        <v>55995</v>
      </c>
      <c r="C21" s="8">
        <v>-36896</v>
      </c>
      <c r="D21" s="8">
        <v>0</v>
      </c>
      <c r="E21" s="8">
        <v>0</v>
      </c>
      <c r="F21" s="8">
        <v>0</v>
      </c>
      <c r="G21" s="8">
        <v>0</v>
      </c>
      <c r="H21" s="8">
        <v>33592</v>
      </c>
      <c r="I21" s="8">
        <v>0</v>
      </c>
      <c r="J21" s="8">
        <v>30992</v>
      </c>
      <c r="K21" s="8">
        <f t="shared" ref="K21" si="17">SUM(B21:J21)</f>
        <v>83683</v>
      </c>
      <c r="L21" s="8">
        <f t="shared" si="1"/>
        <v>25104.9</v>
      </c>
      <c r="M21" s="8">
        <f t="shared" si="2"/>
        <v>4184.1499999999996</v>
      </c>
      <c r="N21" s="8">
        <f t="shared" si="13"/>
        <v>54393.95</v>
      </c>
    </row>
    <row r="22" spans="1:14" ht="15" customHeight="1" x14ac:dyDescent="0.25">
      <c r="A22" s="11">
        <f t="shared" si="4"/>
        <v>44478</v>
      </c>
      <c r="B22" s="8">
        <v>135228</v>
      </c>
      <c r="C22" s="8">
        <v>10353</v>
      </c>
      <c r="D22" s="8">
        <v>0</v>
      </c>
      <c r="E22" s="8">
        <v>0</v>
      </c>
      <c r="F22" s="8">
        <v>0</v>
      </c>
      <c r="G22" s="8">
        <v>0</v>
      </c>
      <c r="H22" s="8">
        <v>13571</v>
      </c>
      <c r="I22" s="8">
        <v>0</v>
      </c>
      <c r="J22" s="8">
        <v>406</v>
      </c>
      <c r="K22" s="8">
        <f t="shared" ref="K22" si="18">SUM(B22:J22)</f>
        <v>159558</v>
      </c>
      <c r="L22" s="8">
        <f t="shared" si="1"/>
        <v>47867.4</v>
      </c>
      <c r="M22" s="8">
        <f t="shared" si="2"/>
        <v>7977.9</v>
      </c>
      <c r="N22" s="8">
        <f t="shared" si="13"/>
        <v>103712.7</v>
      </c>
    </row>
    <row r="23" spans="1:14" ht="15" customHeight="1" x14ac:dyDescent="0.25">
      <c r="A23" s="11">
        <f t="shared" si="4"/>
        <v>44485</v>
      </c>
      <c r="B23" s="8">
        <v>-33971</v>
      </c>
      <c r="C23" s="8">
        <v>11783</v>
      </c>
      <c r="D23" s="8">
        <v>0</v>
      </c>
      <c r="E23" s="8">
        <v>0</v>
      </c>
      <c r="F23" s="8">
        <v>0</v>
      </c>
      <c r="G23" s="8">
        <v>0</v>
      </c>
      <c r="H23" s="8">
        <v>113757</v>
      </c>
      <c r="I23" s="8">
        <v>0</v>
      </c>
      <c r="J23" s="8">
        <v>3030</v>
      </c>
      <c r="K23" s="8">
        <f t="shared" ref="K23" si="19">SUM(B23:J23)</f>
        <v>94599</v>
      </c>
      <c r="L23" s="8">
        <f t="shared" si="1"/>
        <v>28379.7</v>
      </c>
      <c r="M23" s="8">
        <f t="shared" si="2"/>
        <v>4729.95</v>
      </c>
      <c r="N23" s="8">
        <f t="shared" si="13"/>
        <v>61489.35</v>
      </c>
    </row>
    <row r="24" spans="1:14" ht="15" customHeight="1" x14ac:dyDescent="0.25">
      <c r="A24" s="11">
        <f t="shared" si="4"/>
        <v>44492</v>
      </c>
      <c r="B24" s="8">
        <v>36446.5</v>
      </c>
      <c r="C24" s="8">
        <v>-20576</v>
      </c>
      <c r="D24" s="8">
        <v>0</v>
      </c>
      <c r="E24" s="8">
        <v>0</v>
      </c>
      <c r="F24" s="8">
        <v>289</v>
      </c>
      <c r="G24" s="8">
        <v>0</v>
      </c>
      <c r="H24" s="8">
        <v>21250</v>
      </c>
      <c r="I24" s="8">
        <v>25275</v>
      </c>
      <c r="J24" s="8">
        <v>3467</v>
      </c>
      <c r="K24" s="8">
        <f t="shared" ref="K24" si="20">SUM(B24:J24)</f>
        <v>66151.5</v>
      </c>
      <c r="L24" s="8">
        <f t="shared" si="1"/>
        <v>19845.45</v>
      </c>
      <c r="M24" s="8">
        <f t="shared" si="2"/>
        <v>3307.58</v>
      </c>
      <c r="N24" s="8">
        <f>ROUND($K24*0.65,2)-0.01</f>
        <v>42998.47</v>
      </c>
    </row>
    <row r="25" spans="1:14" ht="15" customHeight="1" x14ac:dyDescent="0.25">
      <c r="A25" s="11">
        <f t="shared" si="4"/>
        <v>44499</v>
      </c>
      <c r="B25" s="8">
        <v>87884</v>
      </c>
      <c r="C25" s="8">
        <v>26008</v>
      </c>
      <c r="D25" s="8">
        <v>0</v>
      </c>
      <c r="E25" s="8">
        <v>0</v>
      </c>
      <c r="F25" s="8">
        <v>0</v>
      </c>
      <c r="G25" s="8">
        <v>0</v>
      </c>
      <c r="H25" s="8">
        <v>5888</v>
      </c>
      <c r="I25" s="8">
        <v>0</v>
      </c>
      <c r="J25" s="8">
        <v>16155</v>
      </c>
      <c r="K25" s="8">
        <f t="shared" ref="K25" si="21">SUM(B25:J25)</f>
        <v>135935</v>
      </c>
      <c r="L25" s="8">
        <f t="shared" si="1"/>
        <v>40780.5</v>
      </c>
      <c r="M25" s="8">
        <f t="shared" si="2"/>
        <v>6796.75</v>
      </c>
      <c r="N25" s="8">
        <f>ROUND($K25*0.65,2)</f>
        <v>88357.75</v>
      </c>
    </row>
    <row r="26" spans="1:14" ht="15" customHeight="1" x14ac:dyDescent="0.25">
      <c r="A26" s="11">
        <f t="shared" si="4"/>
        <v>44506</v>
      </c>
      <c r="B26" s="8">
        <v>66263</v>
      </c>
      <c r="C26" s="8">
        <v>29665</v>
      </c>
      <c r="D26" s="8">
        <v>0</v>
      </c>
      <c r="E26" s="8">
        <v>0</v>
      </c>
      <c r="F26" s="8">
        <v>0</v>
      </c>
      <c r="G26" s="8">
        <v>0</v>
      </c>
      <c r="H26" s="8">
        <v>-11546</v>
      </c>
      <c r="I26" s="8">
        <v>0</v>
      </c>
      <c r="J26" s="8">
        <v>10985</v>
      </c>
      <c r="K26" s="8">
        <f t="shared" ref="K26" si="22">SUM(B26:J26)</f>
        <v>95367</v>
      </c>
      <c r="L26" s="8">
        <f t="shared" si="1"/>
        <v>28610.1</v>
      </c>
      <c r="M26" s="8">
        <f t="shared" si="2"/>
        <v>4768.3500000000004</v>
      </c>
      <c r="N26" s="8">
        <f>ROUND($K26*0.65,2)</f>
        <v>61988.55</v>
      </c>
    </row>
    <row r="27" spans="1:14" ht="15" customHeight="1" x14ac:dyDescent="0.25">
      <c r="A27" s="11">
        <f t="shared" si="4"/>
        <v>44513</v>
      </c>
      <c r="B27" s="8">
        <v>18693</v>
      </c>
      <c r="C27" s="8">
        <v>19012</v>
      </c>
      <c r="D27" s="8">
        <v>0</v>
      </c>
      <c r="E27" s="8">
        <v>0</v>
      </c>
      <c r="F27" s="8">
        <v>0</v>
      </c>
      <c r="G27" s="8">
        <v>0</v>
      </c>
      <c r="H27" s="8">
        <v>-44044</v>
      </c>
      <c r="I27" s="8">
        <v>0</v>
      </c>
      <c r="J27" s="8">
        <v>13718</v>
      </c>
      <c r="K27" s="8">
        <f t="shared" ref="K27" si="23">SUM(B27:J27)</f>
        <v>7379</v>
      </c>
      <c r="L27" s="8">
        <f t="shared" si="1"/>
        <v>2213.6999999999998</v>
      </c>
      <c r="M27" s="8">
        <f t="shared" si="2"/>
        <v>368.95</v>
      </c>
      <c r="N27" s="8">
        <f>ROUND($K27*0.65,2)</f>
        <v>4796.3500000000004</v>
      </c>
    </row>
    <row r="28" spans="1:14" ht="15" customHeight="1" x14ac:dyDescent="0.25">
      <c r="A28" s="11">
        <f t="shared" si="4"/>
        <v>44520</v>
      </c>
      <c r="B28" s="8">
        <v>50014.5</v>
      </c>
      <c r="C28" s="8">
        <v>-7432</v>
      </c>
      <c r="D28" s="8">
        <v>0</v>
      </c>
      <c r="E28" s="8">
        <v>0</v>
      </c>
      <c r="F28" s="8">
        <v>0</v>
      </c>
      <c r="G28" s="8">
        <v>0</v>
      </c>
      <c r="H28" s="8">
        <v>56452</v>
      </c>
      <c r="I28" s="8">
        <v>0</v>
      </c>
      <c r="J28" s="8">
        <v>40546</v>
      </c>
      <c r="K28" s="8">
        <f t="shared" ref="K28" si="24">SUM(B28:J28)</f>
        <v>139580.5</v>
      </c>
      <c r="L28" s="8">
        <f t="shared" si="1"/>
        <v>41874.15</v>
      </c>
      <c r="M28" s="8">
        <f t="shared" si="2"/>
        <v>6979.03</v>
      </c>
      <c r="N28" s="8">
        <f>ROUND($K28*0.65,2)-0.01</f>
        <v>90727.32</v>
      </c>
    </row>
    <row r="29" spans="1:14" ht="15" customHeight="1" x14ac:dyDescent="0.25">
      <c r="A29" s="11">
        <f t="shared" si="4"/>
        <v>44527</v>
      </c>
      <c r="B29" s="8">
        <v>248752.5</v>
      </c>
      <c r="C29" s="8">
        <v>9594</v>
      </c>
      <c r="D29" s="8">
        <v>0</v>
      </c>
      <c r="E29" s="8">
        <v>0</v>
      </c>
      <c r="F29" s="8">
        <v>0</v>
      </c>
      <c r="G29" s="8">
        <v>0</v>
      </c>
      <c r="H29" s="8">
        <v>59640</v>
      </c>
      <c r="I29" s="8">
        <v>0</v>
      </c>
      <c r="J29" s="8">
        <v>9766</v>
      </c>
      <c r="K29" s="8">
        <f t="shared" ref="K29" si="25">SUM(B29:J29)</f>
        <v>327752.5</v>
      </c>
      <c r="L29" s="8">
        <f t="shared" si="1"/>
        <v>98325.75</v>
      </c>
      <c r="M29" s="8">
        <f t="shared" si="2"/>
        <v>16387.63</v>
      </c>
      <c r="N29" s="8">
        <f>ROUND($K29*0.65,2)-0.01</f>
        <v>213039.12</v>
      </c>
    </row>
    <row r="30" spans="1:14" ht="15" customHeight="1" x14ac:dyDescent="0.25">
      <c r="A30" s="11">
        <f t="shared" si="4"/>
        <v>44534</v>
      </c>
      <c r="B30" s="8">
        <v>212995.5</v>
      </c>
      <c r="C30" s="8">
        <v>18292</v>
      </c>
      <c r="D30" s="8">
        <v>0</v>
      </c>
      <c r="E30" s="8">
        <v>-32579.25</v>
      </c>
      <c r="F30" s="8">
        <v>0</v>
      </c>
      <c r="G30" s="8">
        <v>0</v>
      </c>
      <c r="H30" s="8">
        <v>39094</v>
      </c>
      <c r="I30" s="8">
        <v>-26720</v>
      </c>
      <c r="J30" s="8">
        <v>5740</v>
      </c>
      <c r="K30" s="8">
        <f t="shared" ref="K30" si="26">SUM(B30:J30)</f>
        <v>216822.25</v>
      </c>
      <c r="L30" s="8">
        <f t="shared" si="1"/>
        <v>65046.68</v>
      </c>
      <c r="M30" s="8">
        <f t="shared" si="2"/>
        <v>10841.11</v>
      </c>
      <c r="N30" s="8">
        <f>ROUND($K30*0.65,2)</f>
        <v>140934.46</v>
      </c>
    </row>
    <row r="31" spans="1:14" ht="15" customHeight="1" x14ac:dyDescent="0.25">
      <c r="A31" s="11">
        <f t="shared" si="4"/>
        <v>44541</v>
      </c>
      <c r="B31" s="8">
        <v>123618</v>
      </c>
      <c r="C31" s="8">
        <v>24911</v>
      </c>
      <c r="D31" s="8">
        <v>0</v>
      </c>
      <c r="E31" s="8">
        <v>0</v>
      </c>
      <c r="F31" s="8">
        <v>0</v>
      </c>
      <c r="G31" s="8">
        <v>0</v>
      </c>
      <c r="H31" s="8">
        <v>-11218</v>
      </c>
      <c r="I31" s="8">
        <v>24850</v>
      </c>
      <c r="J31" s="8">
        <v>17353</v>
      </c>
      <c r="K31" s="8">
        <f t="shared" ref="K31" si="27">SUM(B31:J31)</f>
        <v>179514</v>
      </c>
      <c r="L31" s="8">
        <f t="shared" si="1"/>
        <v>53854.2</v>
      </c>
      <c r="M31" s="8">
        <f t="shared" si="2"/>
        <v>8975.7000000000007</v>
      </c>
      <c r="N31" s="8">
        <f>ROUND($K31*0.65,2)</f>
        <v>116684.1</v>
      </c>
    </row>
    <row r="32" spans="1:14" ht="15" customHeight="1" x14ac:dyDescent="0.25">
      <c r="A32" s="11">
        <f t="shared" si="4"/>
        <v>44548</v>
      </c>
      <c r="B32" s="8">
        <v>57358</v>
      </c>
      <c r="C32" s="8">
        <v>15144</v>
      </c>
      <c r="D32" s="8">
        <v>0</v>
      </c>
      <c r="E32" s="8">
        <v>0</v>
      </c>
      <c r="F32" s="8">
        <v>0</v>
      </c>
      <c r="G32" s="8">
        <v>0</v>
      </c>
      <c r="H32" s="8">
        <v>31138</v>
      </c>
      <c r="I32" s="8">
        <v>580</v>
      </c>
      <c r="J32" s="8">
        <v>12015</v>
      </c>
      <c r="K32" s="8">
        <f t="shared" ref="K32" si="28">SUM(B32:J32)</f>
        <v>116235</v>
      </c>
      <c r="L32" s="8">
        <f t="shared" si="1"/>
        <v>34870.5</v>
      </c>
      <c r="M32" s="8">
        <f t="shared" si="2"/>
        <v>5811.75</v>
      </c>
      <c r="N32" s="8">
        <f>ROUND($K32*0.65,2)</f>
        <v>75552.75</v>
      </c>
    </row>
    <row r="33" spans="1:14" ht="15" customHeight="1" x14ac:dyDescent="0.25">
      <c r="A33" s="11">
        <f t="shared" si="4"/>
        <v>44555</v>
      </c>
      <c r="B33" s="8">
        <v>-40759</v>
      </c>
      <c r="C33" s="8">
        <v>13398</v>
      </c>
      <c r="D33" s="8">
        <v>0</v>
      </c>
      <c r="E33" s="8">
        <v>0</v>
      </c>
      <c r="F33" s="8">
        <v>0</v>
      </c>
      <c r="G33" s="8">
        <v>0</v>
      </c>
      <c r="H33" s="8">
        <v>2622</v>
      </c>
      <c r="I33" s="8">
        <v>10400</v>
      </c>
      <c r="J33" s="8">
        <v>8392</v>
      </c>
      <c r="K33" s="8">
        <f t="shared" ref="K33" si="29">SUM(B33:J33)</f>
        <v>-5947</v>
      </c>
      <c r="L33" s="8">
        <f t="shared" si="1"/>
        <v>-1784.1</v>
      </c>
      <c r="M33" s="8">
        <f t="shared" si="2"/>
        <v>-297.35000000000002</v>
      </c>
      <c r="N33" s="8">
        <f>ROUND($K33*0.65,2)</f>
        <v>-3865.55</v>
      </c>
    </row>
    <row r="34" spans="1:14" ht="15" customHeight="1" x14ac:dyDescent="0.25">
      <c r="A34" s="11">
        <f t="shared" si="4"/>
        <v>44562</v>
      </c>
      <c r="B34" s="8">
        <v>144159.5</v>
      </c>
      <c r="C34" s="8">
        <v>37093</v>
      </c>
      <c r="D34" s="8">
        <v>0</v>
      </c>
      <c r="E34" s="8">
        <v>77875</v>
      </c>
      <c r="F34" s="8">
        <v>0</v>
      </c>
      <c r="G34" s="8">
        <v>0</v>
      </c>
      <c r="H34" s="8">
        <v>44042</v>
      </c>
      <c r="I34" s="8">
        <v>-24853</v>
      </c>
      <c r="J34" s="8">
        <v>17485</v>
      </c>
      <c r="K34" s="8">
        <f t="shared" ref="K34" si="30">SUM(B34:J34)</f>
        <v>295801.5</v>
      </c>
      <c r="L34" s="8">
        <f t="shared" si="1"/>
        <v>88740.45</v>
      </c>
      <c r="M34" s="8">
        <f t="shared" si="2"/>
        <v>14790.08</v>
      </c>
      <c r="N34" s="8">
        <f>ROUND($K34*0.65,2)-0.01</f>
        <v>192270.97</v>
      </c>
    </row>
    <row r="35" spans="1:14" ht="15" customHeight="1" x14ac:dyDescent="0.25">
      <c r="A35" s="11">
        <f t="shared" si="4"/>
        <v>44569</v>
      </c>
      <c r="B35" s="8">
        <v>85852</v>
      </c>
      <c r="C35" s="8">
        <v>-2737</v>
      </c>
      <c r="D35" s="8">
        <v>0</v>
      </c>
      <c r="E35" s="8">
        <v>0</v>
      </c>
      <c r="F35" s="8">
        <v>0</v>
      </c>
      <c r="G35" s="8">
        <v>0</v>
      </c>
      <c r="H35" s="8">
        <v>32167</v>
      </c>
      <c r="I35" s="8">
        <v>0</v>
      </c>
      <c r="J35" s="8">
        <v>-1822</v>
      </c>
      <c r="K35" s="8">
        <f t="shared" ref="K35" si="31">SUM(B35:J35)</f>
        <v>113460</v>
      </c>
      <c r="L35" s="8">
        <f t="shared" si="1"/>
        <v>34038</v>
      </c>
      <c r="M35" s="8">
        <f t="shared" si="2"/>
        <v>5673</v>
      </c>
      <c r="N35" s="8">
        <f>ROUND($K35*0.65,2)</f>
        <v>73749</v>
      </c>
    </row>
    <row r="36" spans="1:14" ht="15" customHeight="1" x14ac:dyDescent="0.25">
      <c r="A36" s="11">
        <f t="shared" si="4"/>
        <v>44576</v>
      </c>
      <c r="B36" s="8">
        <v>43237</v>
      </c>
      <c r="C36" s="8">
        <v>-8637</v>
      </c>
      <c r="D36" s="8">
        <v>0</v>
      </c>
      <c r="E36" s="8">
        <v>0</v>
      </c>
      <c r="F36" s="8">
        <v>0</v>
      </c>
      <c r="G36" s="8">
        <v>0</v>
      </c>
      <c r="H36" s="8">
        <v>9816</v>
      </c>
      <c r="I36" s="8">
        <v>-12375</v>
      </c>
      <c r="J36" s="8">
        <v>6008</v>
      </c>
      <c r="K36" s="8">
        <f t="shared" ref="K36" si="32">SUM(B36:J36)</f>
        <v>38049</v>
      </c>
      <c r="L36" s="8">
        <f t="shared" si="1"/>
        <v>11414.7</v>
      </c>
      <c r="M36" s="8">
        <f t="shared" si="2"/>
        <v>1902.45</v>
      </c>
      <c r="N36" s="8">
        <f>ROUND($K36*0.65,2)</f>
        <v>24731.85</v>
      </c>
    </row>
    <row r="37" spans="1:14" ht="15" customHeight="1" x14ac:dyDescent="0.25">
      <c r="A37" s="11">
        <f t="shared" si="4"/>
        <v>44583</v>
      </c>
      <c r="B37" s="8">
        <v>84793.5</v>
      </c>
      <c r="C37" s="8">
        <v>18667</v>
      </c>
      <c r="D37" s="8">
        <v>0</v>
      </c>
      <c r="E37" s="8">
        <v>0</v>
      </c>
      <c r="F37" s="8">
        <v>0</v>
      </c>
      <c r="G37" s="8">
        <v>0</v>
      </c>
      <c r="H37" s="8">
        <v>28023</v>
      </c>
      <c r="I37" s="8">
        <v>0</v>
      </c>
      <c r="J37" s="8">
        <v>4395</v>
      </c>
      <c r="K37" s="8">
        <f t="shared" ref="K37" si="33">SUM(B37:J37)</f>
        <v>135878.5</v>
      </c>
      <c r="L37" s="8">
        <f t="shared" si="1"/>
        <v>40763.550000000003</v>
      </c>
      <c r="M37" s="8">
        <f t="shared" si="2"/>
        <v>6793.93</v>
      </c>
      <c r="N37" s="8">
        <f>ROUND($K37*0.65,2)-0.01</f>
        <v>88321.02</v>
      </c>
    </row>
    <row r="38" spans="1:14" ht="15" customHeight="1" x14ac:dyDescent="0.25">
      <c r="A38" s="11">
        <f t="shared" si="4"/>
        <v>44590</v>
      </c>
      <c r="B38" s="8">
        <v>44233.5</v>
      </c>
      <c r="C38" s="8">
        <v>42116</v>
      </c>
      <c r="D38" s="8">
        <v>0</v>
      </c>
      <c r="E38" s="8">
        <v>0</v>
      </c>
      <c r="F38" s="8">
        <v>0</v>
      </c>
      <c r="G38" s="8">
        <v>0</v>
      </c>
      <c r="H38" s="8">
        <v>15033.5</v>
      </c>
      <c r="I38" s="8">
        <v>5300</v>
      </c>
      <c r="J38" s="8">
        <v>8617</v>
      </c>
      <c r="K38" s="8">
        <f t="shared" ref="K38" si="34">SUM(B38:J38)</f>
        <v>115300</v>
      </c>
      <c r="L38" s="8">
        <f t="shared" si="1"/>
        <v>34590</v>
      </c>
      <c r="M38" s="8">
        <f t="shared" si="2"/>
        <v>5765</v>
      </c>
      <c r="N38" s="8">
        <f>ROUND($K38*0.65,2)</f>
        <v>74945</v>
      </c>
    </row>
    <row r="39" spans="1:14" ht="15" customHeight="1" x14ac:dyDescent="0.25">
      <c r="A39" s="11">
        <f t="shared" si="4"/>
        <v>44597</v>
      </c>
      <c r="B39" s="8">
        <v>98163</v>
      </c>
      <c r="C39" s="8">
        <v>13514</v>
      </c>
      <c r="D39" s="8">
        <v>0</v>
      </c>
      <c r="E39" s="8">
        <v>0</v>
      </c>
      <c r="F39" s="8">
        <v>0</v>
      </c>
      <c r="G39" s="8">
        <v>0</v>
      </c>
      <c r="H39" s="8">
        <v>14193.5</v>
      </c>
      <c r="I39" s="8">
        <v>0</v>
      </c>
      <c r="J39" s="8">
        <v>7854</v>
      </c>
      <c r="K39" s="8">
        <f t="shared" ref="K39" si="35">SUM(B39:J39)</f>
        <v>133724.5</v>
      </c>
      <c r="L39" s="8">
        <f t="shared" si="1"/>
        <v>40117.35</v>
      </c>
      <c r="M39" s="8">
        <f t="shared" si="2"/>
        <v>6686.23</v>
      </c>
      <c r="N39" s="8">
        <f>ROUND($K39*0.65,2)-0.01</f>
        <v>86920.92</v>
      </c>
    </row>
    <row r="40" spans="1:14" ht="15" customHeight="1" x14ac:dyDescent="0.25">
      <c r="A40" s="11">
        <f t="shared" si="4"/>
        <v>44604</v>
      </c>
      <c r="B40" s="8">
        <v>169847.5</v>
      </c>
      <c r="C40" s="8">
        <v>8283</v>
      </c>
      <c r="D40" s="8">
        <v>0</v>
      </c>
      <c r="E40" s="8">
        <v>0</v>
      </c>
      <c r="F40" s="8">
        <v>0</v>
      </c>
      <c r="G40" s="8">
        <v>0</v>
      </c>
      <c r="H40" s="8">
        <v>37447</v>
      </c>
      <c r="I40" s="8">
        <v>0</v>
      </c>
      <c r="J40" s="8">
        <v>4672</v>
      </c>
      <c r="K40" s="8">
        <f t="shared" ref="K40" si="36">SUM(B40:J40)</f>
        <v>220249.5</v>
      </c>
      <c r="L40" s="8">
        <f t="shared" si="1"/>
        <v>66074.850000000006</v>
      </c>
      <c r="M40" s="8">
        <f t="shared" si="2"/>
        <v>11012.48</v>
      </c>
      <c r="N40" s="8">
        <f>ROUND($K40*0.65,2)-0.01</f>
        <v>143162.16999999998</v>
      </c>
    </row>
    <row r="41" spans="1:14" ht="15" customHeight="1" x14ac:dyDescent="0.25">
      <c r="A41" s="11">
        <f t="shared" si="4"/>
        <v>44611</v>
      </c>
      <c r="B41" s="8">
        <v>184318.5</v>
      </c>
      <c r="C41" s="8">
        <v>6023</v>
      </c>
      <c r="D41" s="8">
        <v>0</v>
      </c>
      <c r="E41" s="8">
        <v>0</v>
      </c>
      <c r="F41" s="8">
        <v>0</v>
      </c>
      <c r="G41" s="8">
        <v>0</v>
      </c>
      <c r="H41" s="8">
        <v>15155</v>
      </c>
      <c r="I41" s="8">
        <v>0</v>
      </c>
      <c r="J41" s="8">
        <v>10451</v>
      </c>
      <c r="K41" s="8">
        <f t="shared" ref="K41" si="37">SUM(B41:J41)</f>
        <v>215947.5</v>
      </c>
      <c r="L41" s="8">
        <f t="shared" si="1"/>
        <v>64784.25</v>
      </c>
      <c r="M41" s="8">
        <f t="shared" si="2"/>
        <v>10797.38</v>
      </c>
      <c r="N41" s="8">
        <f>ROUND($K41*0.65,2)-0.01</f>
        <v>140365.87</v>
      </c>
    </row>
    <row r="42" spans="1:14" ht="15" customHeight="1" x14ac:dyDescent="0.25">
      <c r="A42" s="11">
        <f t="shared" si="4"/>
        <v>44618</v>
      </c>
      <c r="B42" s="8">
        <v>63491.5</v>
      </c>
      <c r="C42" s="8">
        <v>18774</v>
      </c>
      <c r="D42" s="8">
        <v>0</v>
      </c>
      <c r="E42" s="8">
        <v>0</v>
      </c>
      <c r="F42" s="8">
        <v>0</v>
      </c>
      <c r="G42" s="8">
        <v>0</v>
      </c>
      <c r="H42" s="8">
        <v>18477</v>
      </c>
      <c r="I42" s="8">
        <v>0</v>
      </c>
      <c r="J42" s="8">
        <v>14524</v>
      </c>
      <c r="K42" s="8">
        <f t="shared" ref="K42" si="38">SUM(B42:J42)</f>
        <v>115266.5</v>
      </c>
      <c r="L42" s="8">
        <f t="shared" si="1"/>
        <v>34579.949999999997</v>
      </c>
      <c r="M42" s="8">
        <f t="shared" si="2"/>
        <v>5763.33</v>
      </c>
      <c r="N42" s="8">
        <f>ROUND($K42*0.65,2)-0.01</f>
        <v>74923.22</v>
      </c>
    </row>
    <row r="43" spans="1:14" ht="15" customHeight="1" x14ac:dyDescent="0.25">
      <c r="A43" s="11">
        <f t="shared" si="4"/>
        <v>44625</v>
      </c>
      <c r="B43" s="8">
        <v>216017.5</v>
      </c>
      <c r="C43" s="8">
        <v>5381</v>
      </c>
      <c r="D43" s="8">
        <v>0</v>
      </c>
      <c r="E43" s="8">
        <v>0</v>
      </c>
      <c r="F43" s="8">
        <v>0</v>
      </c>
      <c r="G43" s="8">
        <v>0</v>
      </c>
      <c r="H43" s="8">
        <v>11794</v>
      </c>
      <c r="I43" s="8">
        <v>0</v>
      </c>
      <c r="J43" s="8">
        <v>33298</v>
      </c>
      <c r="K43" s="8">
        <f t="shared" ref="K43" si="39">SUM(B43:J43)</f>
        <v>266490.5</v>
      </c>
      <c r="L43" s="8">
        <f t="shared" si="1"/>
        <v>79947.149999999994</v>
      </c>
      <c r="M43" s="8">
        <f t="shared" si="2"/>
        <v>13324.53</v>
      </c>
      <c r="N43" s="8">
        <f>ROUND($K43*0.65,2)-0.01</f>
        <v>173218.81999999998</v>
      </c>
    </row>
    <row r="44" spans="1:14" ht="15" customHeight="1" x14ac:dyDescent="0.25">
      <c r="A44" s="11">
        <f t="shared" si="4"/>
        <v>44632</v>
      </c>
      <c r="B44" s="8">
        <v>83798</v>
      </c>
      <c r="C44" s="8">
        <v>551</v>
      </c>
      <c r="D44" s="8">
        <v>0</v>
      </c>
      <c r="E44" s="8">
        <v>0</v>
      </c>
      <c r="F44" s="8">
        <v>0</v>
      </c>
      <c r="G44" s="8">
        <v>0</v>
      </c>
      <c r="H44" s="8">
        <v>2380</v>
      </c>
      <c r="I44" s="8">
        <v>0</v>
      </c>
      <c r="J44" s="8">
        <v>4270</v>
      </c>
      <c r="K44" s="8">
        <f t="shared" ref="K44" si="40">SUM(B44:J44)</f>
        <v>90999</v>
      </c>
      <c r="L44" s="8">
        <f t="shared" si="1"/>
        <v>27299.7</v>
      </c>
      <c r="M44" s="8">
        <f t="shared" si="2"/>
        <v>4549.95</v>
      </c>
      <c r="N44" s="8">
        <f>ROUND($K44*0.65,2)</f>
        <v>59149.35</v>
      </c>
    </row>
    <row r="45" spans="1:14" ht="15" customHeight="1" x14ac:dyDescent="0.25">
      <c r="A45" s="11">
        <f t="shared" si="4"/>
        <v>44639</v>
      </c>
      <c r="B45" s="8">
        <v>107375</v>
      </c>
      <c r="C45" s="8">
        <v>-629</v>
      </c>
      <c r="D45" s="8">
        <v>0</v>
      </c>
      <c r="E45" s="8">
        <v>0</v>
      </c>
      <c r="F45" s="8">
        <v>0</v>
      </c>
      <c r="G45" s="8">
        <v>0</v>
      </c>
      <c r="H45" s="8">
        <v>4042</v>
      </c>
      <c r="I45" s="8">
        <v>4620</v>
      </c>
      <c r="J45" s="8">
        <v>7679</v>
      </c>
      <c r="K45" s="8">
        <f t="shared" ref="K45" si="41">SUM(B45:J45)</f>
        <v>123087</v>
      </c>
      <c r="L45" s="8">
        <f t="shared" si="1"/>
        <v>36926.1</v>
      </c>
      <c r="M45" s="8">
        <f t="shared" si="2"/>
        <v>6154.35</v>
      </c>
      <c r="N45" s="8">
        <f>ROUND($K45*0.65,2)</f>
        <v>80006.55</v>
      </c>
    </row>
    <row r="46" spans="1:14" ht="15" customHeight="1" x14ac:dyDescent="0.25">
      <c r="A46" s="11">
        <f t="shared" si="4"/>
        <v>44646</v>
      </c>
      <c r="B46" s="8">
        <v>10859.5</v>
      </c>
      <c r="C46" s="8">
        <v>12588</v>
      </c>
      <c r="D46" s="8">
        <v>0</v>
      </c>
      <c r="E46" s="8">
        <v>0</v>
      </c>
      <c r="F46" s="8">
        <v>0</v>
      </c>
      <c r="G46" s="8">
        <v>0</v>
      </c>
      <c r="H46" s="8">
        <v>21112</v>
      </c>
      <c r="I46" s="8">
        <v>0</v>
      </c>
      <c r="J46" s="8">
        <v>1334</v>
      </c>
      <c r="K46" s="8">
        <f t="shared" ref="K46" si="42">SUM(B46:J46)</f>
        <v>45893.5</v>
      </c>
      <c r="L46" s="8">
        <f t="shared" si="1"/>
        <v>13768.05</v>
      </c>
      <c r="M46" s="8">
        <f t="shared" si="2"/>
        <v>2294.6799999999998</v>
      </c>
      <c r="N46" s="8">
        <f>ROUND($K46*0.65,2)-0.01</f>
        <v>29830.77</v>
      </c>
    </row>
    <row r="47" spans="1:14" ht="15" customHeight="1" x14ac:dyDescent="0.25">
      <c r="A47" s="11">
        <f t="shared" si="4"/>
        <v>44653</v>
      </c>
      <c r="B47" s="8">
        <v>18819.5</v>
      </c>
      <c r="C47" s="8">
        <v>11977</v>
      </c>
      <c r="D47" s="8">
        <v>0</v>
      </c>
      <c r="E47" s="8">
        <v>0</v>
      </c>
      <c r="F47" s="8">
        <v>0</v>
      </c>
      <c r="G47" s="8">
        <v>0</v>
      </c>
      <c r="H47" s="8">
        <v>7657</v>
      </c>
      <c r="I47" s="8">
        <v>0</v>
      </c>
      <c r="J47" s="8">
        <v>10125</v>
      </c>
      <c r="K47" s="8">
        <f t="shared" ref="K47" si="43">SUM(B47:J47)</f>
        <v>48578.5</v>
      </c>
      <c r="L47" s="8">
        <f t="shared" si="1"/>
        <v>14573.55</v>
      </c>
      <c r="M47" s="8">
        <f t="shared" si="2"/>
        <v>2428.9299999999998</v>
      </c>
      <c r="N47" s="8">
        <f>ROUND($K47*0.65,2)-0.01</f>
        <v>31576.02</v>
      </c>
    </row>
    <row r="48" spans="1:14" ht="15" customHeight="1" x14ac:dyDescent="0.25">
      <c r="A48" s="11">
        <f t="shared" si="4"/>
        <v>44660</v>
      </c>
      <c r="B48" s="8">
        <v>-45997</v>
      </c>
      <c r="C48" s="8">
        <v>1879</v>
      </c>
      <c r="D48" s="8">
        <v>0</v>
      </c>
      <c r="E48" s="8">
        <v>0</v>
      </c>
      <c r="F48" s="8">
        <v>0</v>
      </c>
      <c r="G48" s="8">
        <v>70</v>
      </c>
      <c r="H48" s="8">
        <v>-3807</v>
      </c>
      <c r="I48" s="8">
        <v>0</v>
      </c>
      <c r="J48" s="8">
        <v>10434</v>
      </c>
      <c r="K48" s="8">
        <f t="shared" ref="K48" si="44">SUM(B48:J48)</f>
        <v>-37421</v>
      </c>
      <c r="L48" s="8">
        <f t="shared" si="1"/>
        <v>-11226.3</v>
      </c>
      <c r="M48" s="8">
        <f t="shared" si="2"/>
        <v>-1871.05</v>
      </c>
      <c r="N48" s="8">
        <f>ROUND($K48*0.65,2)</f>
        <v>-24323.65</v>
      </c>
    </row>
    <row r="49" spans="1:14" ht="15" customHeight="1" x14ac:dyDescent="0.25">
      <c r="A49" s="11">
        <f t="shared" si="4"/>
        <v>44667</v>
      </c>
      <c r="B49" s="8">
        <v>114090</v>
      </c>
      <c r="C49" s="8">
        <v>38538</v>
      </c>
      <c r="D49" s="8">
        <v>0</v>
      </c>
      <c r="E49" s="8">
        <v>-120</v>
      </c>
      <c r="F49" s="8">
        <v>0</v>
      </c>
      <c r="G49" s="8">
        <v>55</v>
      </c>
      <c r="H49" s="8">
        <v>9726</v>
      </c>
      <c r="I49" s="8">
        <v>0</v>
      </c>
      <c r="J49" s="8">
        <v>7968</v>
      </c>
      <c r="K49" s="8">
        <f t="shared" ref="K49" si="45">SUM(B49:J49)</f>
        <v>170257</v>
      </c>
      <c r="L49" s="8">
        <f t="shared" si="1"/>
        <v>51077.1</v>
      </c>
      <c r="M49" s="8">
        <f t="shared" si="2"/>
        <v>8512.85</v>
      </c>
      <c r="N49" s="8">
        <f>ROUND($K49*0.65,2)</f>
        <v>110667.05</v>
      </c>
    </row>
    <row r="50" spans="1:14" ht="15" customHeight="1" x14ac:dyDescent="0.25">
      <c r="A50" s="11">
        <f t="shared" si="4"/>
        <v>44674</v>
      </c>
      <c r="B50" s="8">
        <v>109009.5</v>
      </c>
      <c r="C50" s="8">
        <v>-821</v>
      </c>
      <c r="D50" s="8">
        <v>0</v>
      </c>
      <c r="E50" s="8">
        <v>0</v>
      </c>
      <c r="F50" s="8">
        <v>0</v>
      </c>
      <c r="G50" s="8">
        <v>70</v>
      </c>
      <c r="H50" s="8">
        <v>16586</v>
      </c>
      <c r="I50" s="8">
        <v>-205</v>
      </c>
      <c r="J50" s="8">
        <v>5789</v>
      </c>
      <c r="K50" s="8">
        <f t="shared" ref="K50" si="46">SUM(B50:J50)</f>
        <v>130428.5</v>
      </c>
      <c r="L50" s="8">
        <f t="shared" si="1"/>
        <v>39128.550000000003</v>
      </c>
      <c r="M50" s="8">
        <f t="shared" si="2"/>
        <v>6521.43</v>
      </c>
      <c r="N50" s="8">
        <f>ROUND($K50*0.65,2)-0.01</f>
        <v>84778.52</v>
      </c>
    </row>
    <row r="51" spans="1:14" ht="15" customHeight="1" x14ac:dyDescent="0.25">
      <c r="A51" s="11">
        <f t="shared" si="4"/>
        <v>44681</v>
      </c>
      <c r="B51" s="8">
        <v>35858.5</v>
      </c>
      <c r="C51" s="8">
        <v>-9518</v>
      </c>
      <c r="D51" s="8">
        <v>0</v>
      </c>
      <c r="E51" s="8">
        <v>0</v>
      </c>
      <c r="F51" s="8">
        <v>0</v>
      </c>
      <c r="G51" s="8">
        <v>60</v>
      </c>
      <c r="H51" s="8">
        <v>21203</v>
      </c>
      <c r="I51" s="8">
        <v>0</v>
      </c>
      <c r="J51" s="8">
        <v>9417</v>
      </c>
      <c r="K51" s="8">
        <f t="shared" ref="K51" si="47">SUM(B51:J51)</f>
        <v>57020.5</v>
      </c>
      <c r="L51" s="8">
        <f t="shared" si="1"/>
        <v>17106.150000000001</v>
      </c>
      <c r="M51" s="8">
        <f t="shared" si="2"/>
        <v>2851.03</v>
      </c>
      <c r="N51" s="8">
        <f>ROUND($K51*0.65,2)-0.01</f>
        <v>37063.32</v>
      </c>
    </row>
    <row r="52" spans="1:14" ht="15" customHeight="1" x14ac:dyDescent="0.25">
      <c r="A52" s="11">
        <f t="shared" si="4"/>
        <v>44688</v>
      </c>
      <c r="B52" s="8">
        <v>73356.5</v>
      </c>
      <c r="C52" s="8">
        <v>-816</v>
      </c>
      <c r="D52" s="8">
        <v>0</v>
      </c>
      <c r="E52" s="8">
        <v>400</v>
      </c>
      <c r="F52" s="8">
        <v>0</v>
      </c>
      <c r="G52" s="8">
        <v>65</v>
      </c>
      <c r="H52" s="8">
        <v>3594</v>
      </c>
      <c r="I52" s="8">
        <v>0</v>
      </c>
      <c r="J52" s="8">
        <v>10925</v>
      </c>
      <c r="K52" s="8">
        <f t="shared" ref="K52" si="48">SUM(B52:J52)</f>
        <v>87524.5</v>
      </c>
      <c r="L52" s="8">
        <f t="shared" si="1"/>
        <v>26257.35</v>
      </c>
      <c r="M52" s="8">
        <f t="shared" si="2"/>
        <v>4376.2299999999996</v>
      </c>
      <c r="N52" s="8">
        <f>ROUND($K52*0.65,2)-0.01</f>
        <v>56890.92</v>
      </c>
    </row>
    <row r="53" spans="1:14" ht="15" customHeight="1" x14ac:dyDescent="0.25">
      <c r="A53" s="11">
        <f t="shared" si="4"/>
        <v>44695</v>
      </c>
      <c r="B53" s="8">
        <v>120013.5</v>
      </c>
      <c r="C53" s="8">
        <v>2439</v>
      </c>
      <c r="D53" s="8">
        <v>0</v>
      </c>
      <c r="E53" s="8">
        <v>0</v>
      </c>
      <c r="F53" s="8">
        <v>0</v>
      </c>
      <c r="G53" s="8">
        <v>80</v>
      </c>
      <c r="H53" s="8">
        <v>4553</v>
      </c>
      <c r="I53" s="8">
        <v>0</v>
      </c>
      <c r="J53" s="8">
        <v>22907</v>
      </c>
      <c r="K53" s="8">
        <f t="shared" ref="K53" si="49">SUM(B53:J53)</f>
        <v>149992.5</v>
      </c>
      <c r="L53" s="8">
        <f t="shared" si="1"/>
        <v>44997.75</v>
      </c>
      <c r="M53" s="8">
        <f t="shared" si="2"/>
        <v>7499.63</v>
      </c>
      <c r="N53" s="8">
        <f>ROUND($K53*0.65,2)-0.01</f>
        <v>97495.12000000001</v>
      </c>
    </row>
    <row r="54" spans="1:14" ht="15" customHeight="1" x14ac:dyDescent="0.25">
      <c r="A54" s="11">
        <f t="shared" si="4"/>
        <v>44702</v>
      </c>
      <c r="B54" s="8">
        <v>84743.5</v>
      </c>
      <c r="C54" s="8">
        <v>-8974</v>
      </c>
      <c r="D54" s="8">
        <v>0</v>
      </c>
      <c r="E54" s="8">
        <v>-745</v>
      </c>
      <c r="F54" s="8">
        <v>0</v>
      </c>
      <c r="G54" s="8">
        <v>55</v>
      </c>
      <c r="H54" s="8">
        <v>18338</v>
      </c>
      <c r="I54" s="8">
        <v>0</v>
      </c>
      <c r="J54" s="8">
        <v>14098</v>
      </c>
      <c r="K54" s="8">
        <f t="shared" ref="K54" si="50">SUM(B54:J54)</f>
        <v>107515.5</v>
      </c>
      <c r="L54" s="8">
        <f t="shared" si="1"/>
        <v>32254.65</v>
      </c>
      <c r="M54" s="8">
        <f t="shared" si="2"/>
        <v>5375.78</v>
      </c>
      <c r="N54" s="8">
        <f>ROUND($K54*0.65,2)-0.01</f>
        <v>69885.070000000007</v>
      </c>
    </row>
    <row r="55" spans="1:14" ht="15" customHeight="1" x14ac:dyDescent="0.25">
      <c r="A55" s="11">
        <f t="shared" si="4"/>
        <v>44709</v>
      </c>
      <c r="B55" s="8">
        <v>415152</v>
      </c>
      <c r="C55" s="8">
        <v>8441</v>
      </c>
      <c r="D55" s="8">
        <v>0</v>
      </c>
      <c r="E55" s="8">
        <v>0</v>
      </c>
      <c r="F55" s="8">
        <v>0</v>
      </c>
      <c r="G55" s="8">
        <v>70</v>
      </c>
      <c r="H55" s="8">
        <v>13929</v>
      </c>
      <c r="I55" s="8">
        <v>4875</v>
      </c>
      <c r="J55" s="8">
        <v>16513</v>
      </c>
      <c r="K55" s="8">
        <f t="shared" ref="K55" si="51">SUM(B55:J55)</f>
        <v>458980</v>
      </c>
      <c r="L55" s="8">
        <f t="shared" si="1"/>
        <v>137694</v>
      </c>
      <c r="M55" s="8">
        <f t="shared" si="2"/>
        <v>22949</v>
      </c>
      <c r="N55" s="8">
        <f>ROUND($K55*0.65,2)</f>
        <v>298337</v>
      </c>
    </row>
    <row r="56" spans="1:14" ht="15" customHeight="1" x14ac:dyDescent="0.25">
      <c r="A56" s="11">
        <f t="shared" si="4"/>
        <v>44716</v>
      </c>
      <c r="B56" s="8">
        <v>80850.5</v>
      </c>
      <c r="C56" s="8">
        <v>28889</v>
      </c>
      <c r="D56" s="8">
        <v>0</v>
      </c>
      <c r="E56" s="8">
        <v>-88.75</v>
      </c>
      <c r="F56" s="8">
        <v>0</v>
      </c>
      <c r="G56" s="8">
        <v>0</v>
      </c>
      <c r="H56" s="8">
        <v>-56033</v>
      </c>
      <c r="I56" s="8">
        <v>2425</v>
      </c>
      <c r="J56" s="8">
        <v>7995</v>
      </c>
      <c r="K56" s="8">
        <f t="shared" ref="K56" si="52">SUM(B56:J56)</f>
        <v>64037.75</v>
      </c>
      <c r="L56" s="8">
        <f t="shared" si="1"/>
        <v>19211.330000000002</v>
      </c>
      <c r="M56" s="8">
        <f t="shared" si="2"/>
        <v>3201.89</v>
      </c>
      <c r="N56" s="8">
        <f>ROUND($K56*0.65,2)-0.01</f>
        <v>41624.53</v>
      </c>
    </row>
    <row r="57" spans="1:14" ht="15" customHeight="1" x14ac:dyDescent="0.25">
      <c r="A57" s="11">
        <f t="shared" si="4"/>
        <v>44723</v>
      </c>
      <c r="B57" s="8">
        <v>82674</v>
      </c>
      <c r="C57" s="8">
        <v>34766</v>
      </c>
      <c r="D57" s="8">
        <v>0</v>
      </c>
      <c r="E57" s="8">
        <v>0</v>
      </c>
      <c r="F57" s="8">
        <v>0</v>
      </c>
      <c r="G57" s="8">
        <v>0</v>
      </c>
      <c r="H57" s="8">
        <v>-50</v>
      </c>
      <c r="I57" s="8">
        <v>0</v>
      </c>
      <c r="J57" s="8">
        <v>1934</v>
      </c>
      <c r="K57" s="8">
        <f t="shared" ref="K57" si="53">SUM(B57:J57)</f>
        <v>119324</v>
      </c>
      <c r="L57" s="8">
        <f t="shared" si="1"/>
        <v>35797.199999999997</v>
      </c>
      <c r="M57" s="8">
        <f t="shared" si="2"/>
        <v>5966.2</v>
      </c>
      <c r="N57" s="8">
        <f>ROUND($K57*0.65,2)</f>
        <v>77560.600000000006</v>
      </c>
    </row>
    <row r="58" spans="1:14" ht="15" customHeight="1" x14ac:dyDescent="0.25">
      <c r="A58" s="11">
        <f t="shared" si="4"/>
        <v>44730</v>
      </c>
      <c r="B58" s="8">
        <v>74358.5</v>
      </c>
      <c r="C58" s="8">
        <v>7458</v>
      </c>
      <c r="D58" s="8">
        <v>0</v>
      </c>
      <c r="E58" s="8">
        <v>0</v>
      </c>
      <c r="F58" s="8">
        <v>0</v>
      </c>
      <c r="G58" s="8">
        <v>0</v>
      </c>
      <c r="H58" s="8">
        <v>15347</v>
      </c>
      <c r="I58" s="8">
        <v>0</v>
      </c>
      <c r="J58" s="8">
        <v>6948</v>
      </c>
      <c r="K58" s="8">
        <f t="shared" ref="K58" si="54">SUM(B58:J58)</f>
        <v>104111.5</v>
      </c>
      <c r="L58" s="8">
        <f t="shared" si="1"/>
        <v>31233.45</v>
      </c>
      <c r="M58" s="8">
        <f t="shared" si="2"/>
        <v>5205.58</v>
      </c>
      <c r="N58" s="8">
        <f>ROUND($K58*0.65,2)-0.01</f>
        <v>67672.47</v>
      </c>
    </row>
    <row r="59" spans="1:14" ht="15" customHeight="1" x14ac:dyDescent="0.25">
      <c r="A59" s="11">
        <f t="shared" si="4"/>
        <v>44737</v>
      </c>
      <c r="B59" s="8">
        <v>254121</v>
      </c>
      <c r="C59" s="8">
        <v>8706</v>
      </c>
      <c r="D59" s="8">
        <v>0</v>
      </c>
      <c r="E59" s="8">
        <v>0</v>
      </c>
      <c r="F59" s="8">
        <v>0</v>
      </c>
      <c r="G59" s="8">
        <v>0</v>
      </c>
      <c r="H59" s="8">
        <v>-19637</v>
      </c>
      <c r="I59" s="8">
        <v>0</v>
      </c>
      <c r="J59" s="8">
        <v>4143</v>
      </c>
      <c r="K59" s="8">
        <f t="shared" ref="K59" si="55">SUM(B59:J59)</f>
        <v>247333</v>
      </c>
      <c r="L59" s="8">
        <f t="shared" si="1"/>
        <v>74199.899999999994</v>
      </c>
      <c r="M59" s="8">
        <f t="shared" si="2"/>
        <v>12366.65</v>
      </c>
      <c r="N59" s="8">
        <f>ROUND($K59*0.65,2)</f>
        <v>160766.45000000001</v>
      </c>
    </row>
    <row r="60" spans="1:14" ht="15" customHeight="1" x14ac:dyDescent="0.25">
      <c r="A60" s="11" t="s">
        <v>35</v>
      </c>
      <c r="B60" s="8">
        <v>19043</v>
      </c>
      <c r="C60" s="8">
        <v>16034</v>
      </c>
      <c r="D60" s="8">
        <v>0</v>
      </c>
      <c r="E60" s="8">
        <v>0</v>
      </c>
      <c r="F60" s="8">
        <v>0</v>
      </c>
      <c r="G60" s="8">
        <v>0</v>
      </c>
      <c r="H60" s="8">
        <v>2427</v>
      </c>
      <c r="I60" s="8">
        <v>4305</v>
      </c>
      <c r="J60" s="8">
        <v>8491</v>
      </c>
      <c r="K60" s="8">
        <f t="shared" ref="K60" si="56">SUM(B60:J60)</f>
        <v>50300</v>
      </c>
      <c r="L60" s="8">
        <f t="shared" si="1"/>
        <v>15090</v>
      </c>
      <c r="M60" s="8">
        <f t="shared" si="2"/>
        <v>2515</v>
      </c>
      <c r="N60" s="8">
        <f>ROUND($K60*0.65,2)</f>
        <v>32695</v>
      </c>
    </row>
    <row r="61" spans="1:14" ht="15" customHeight="1" x14ac:dyDescent="0.25">
      <c r="A61" s="11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</row>
    <row r="62" spans="1:14" ht="15" customHeight="1" thickBot="1" x14ac:dyDescent="0.3">
      <c r="B62" s="9">
        <f t="shared" ref="B62:N62" si="57">SUM(B8:B61)</f>
        <v>5664251</v>
      </c>
      <c r="C62" s="9">
        <f t="shared" si="57"/>
        <v>722018</v>
      </c>
      <c r="D62" s="9">
        <f t="shared" si="57"/>
        <v>0</v>
      </c>
      <c r="E62" s="9">
        <f t="shared" si="57"/>
        <v>62632</v>
      </c>
      <c r="F62" s="9">
        <f t="shared" si="57"/>
        <v>289</v>
      </c>
      <c r="G62" s="9">
        <f t="shared" si="57"/>
        <v>525</v>
      </c>
      <c r="H62" s="9">
        <f t="shared" si="57"/>
        <v>776483</v>
      </c>
      <c r="I62" s="9">
        <f t="shared" si="57"/>
        <v>109974</v>
      </c>
      <c r="J62" s="9">
        <f t="shared" si="57"/>
        <v>526379</v>
      </c>
      <c r="K62" s="9">
        <f t="shared" si="57"/>
        <v>7862551</v>
      </c>
      <c r="L62" s="9">
        <f t="shared" si="57"/>
        <v>2358765.31</v>
      </c>
      <c r="M62" s="9">
        <f t="shared" si="57"/>
        <v>393127.67000000016</v>
      </c>
      <c r="N62" s="9">
        <f t="shared" si="57"/>
        <v>5110658.0200000014</v>
      </c>
    </row>
    <row r="63" spans="1:14" ht="15" customHeight="1" thickTop="1" x14ac:dyDescent="0.25"/>
    <row r="64" spans="1:14" ht="15" customHeight="1" x14ac:dyDescent="0.25">
      <c r="A64" s="18" t="s">
        <v>31</v>
      </c>
    </row>
    <row r="65" spans="1:1" ht="15" customHeight="1" x14ac:dyDescent="0.25">
      <c r="A65" s="18" t="s">
        <v>36</v>
      </c>
    </row>
  </sheetData>
  <mergeCells count="1">
    <mergeCell ref="A6:N6"/>
  </mergeCells>
  <pageMargins left="0.25" right="0.25" top="0.75" bottom="0.5" header="0.25" footer="0"/>
  <pageSetup scale="51" orientation="landscape" r:id="rId1"/>
  <headerFooter>
    <oddHeader>&amp;C&amp;"Arial,Italic"&amp;10GREENBRIER HISTORIC RESORT TABLE GAMES</oddHeader>
    <oddFooter>&amp;L&amp;"Arial,Regular"&amp;8&amp;F</oddFooter>
  </headerFooter>
  <ignoredErrors>
    <ignoredError sqref="K8:K9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4"/>
  <sheetViews>
    <sheetView zoomScaleNormal="100" workbookViewId="0">
      <pane ySplit="3" topLeftCell="A30" activePane="bottomLeft" state="frozen"/>
      <selection pane="bottomLeft" activeCell="A60" sqref="A60"/>
    </sheetView>
  </sheetViews>
  <sheetFormatPr defaultRowHeight="15" customHeight="1" x14ac:dyDescent="0.25"/>
  <cols>
    <col min="1" max="1" width="12.7109375" style="1" customWidth="1"/>
    <col min="2" max="2" width="18" style="1" bestFit="1" customWidth="1"/>
    <col min="3" max="3" width="16.140625" style="1" bestFit="1" customWidth="1"/>
    <col min="4" max="4" width="15" style="1" bestFit="1" customWidth="1"/>
    <col min="5" max="5" width="14.7109375" style="1" customWidth="1"/>
    <col min="6" max="6" width="15" style="1" bestFit="1" customWidth="1"/>
    <col min="7" max="7" width="13.28515625" style="1" bestFit="1" customWidth="1"/>
    <col min="8" max="8" width="13.7109375" style="1" customWidth="1"/>
    <col min="9" max="9" width="15" style="1" bestFit="1" customWidth="1"/>
    <col min="10" max="10" width="11.7109375" style="1" customWidth="1"/>
    <col min="11" max="11" width="13.28515625" style="1" bestFit="1" customWidth="1"/>
    <col min="12" max="16384" width="9.140625" style="1"/>
  </cols>
  <sheetData>
    <row r="1" spans="1:11" s="2" customFormat="1" ht="60" x14ac:dyDescent="0.25">
      <c r="B1" s="3" t="s">
        <v>0</v>
      </c>
      <c r="C1" s="3" t="s">
        <v>1</v>
      </c>
      <c r="D1" s="4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38</v>
      </c>
    </row>
    <row r="2" spans="1:11" ht="15" customHeight="1" x14ac:dyDescent="0.25">
      <c r="A2" s="1" t="s">
        <v>32</v>
      </c>
      <c r="B2" s="16">
        <v>88205474.430000037</v>
      </c>
      <c r="C2" s="16">
        <v>81424103.859999985</v>
      </c>
      <c r="D2" s="16">
        <v>1226648</v>
      </c>
      <c r="E2" s="16">
        <v>5554722.570000004</v>
      </c>
      <c r="F2" s="16">
        <v>1999700.0199999996</v>
      </c>
      <c r="G2" s="16">
        <v>944302.91</v>
      </c>
      <c r="H2" s="16">
        <v>261071.92999999996</v>
      </c>
      <c r="I2" s="16">
        <v>2349647.71</v>
      </c>
      <c r="J2" s="16">
        <v>1030.43</v>
      </c>
      <c r="K2" s="13">
        <v>102</v>
      </c>
    </row>
    <row r="4" spans="1:11" ht="15" customHeight="1" x14ac:dyDescent="0.25">
      <c r="A4" s="22" t="s">
        <v>29</v>
      </c>
      <c r="B4" s="22"/>
      <c r="C4" s="22"/>
      <c r="D4" s="22"/>
      <c r="E4" s="22"/>
      <c r="F4" s="22"/>
      <c r="G4" s="22"/>
      <c r="H4" s="22"/>
      <c r="I4" s="22"/>
      <c r="J4" s="22"/>
      <c r="K4" s="22"/>
    </row>
    <row r="5" spans="1:11" ht="15" customHeight="1" x14ac:dyDescent="0.25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</row>
    <row r="6" spans="1:11" ht="15" customHeight="1" x14ac:dyDescent="0.25">
      <c r="A6" s="11" t="s">
        <v>30</v>
      </c>
      <c r="B6" s="8">
        <v>1015362.73</v>
      </c>
      <c r="C6" s="8">
        <v>949066.73</v>
      </c>
      <c r="D6" s="8">
        <v>10215</v>
      </c>
      <c r="E6" s="8">
        <f t="shared" ref="E6" si="0">B6-C6-D6</f>
        <v>56081</v>
      </c>
      <c r="F6" s="8">
        <f>ROUND($E6*0.36,2)</f>
        <v>20189.16</v>
      </c>
      <c r="G6" s="8">
        <f>ROUND($E6*0.17,2)</f>
        <v>9533.77</v>
      </c>
      <c r="H6" s="8">
        <f>ROUND($E6*0.047,2)</f>
        <v>2635.81</v>
      </c>
      <c r="I6" s="8">
        <f>ROUND($E6*0.423,2)</f>
        <v>23722.26</v>
      </c>
      <c r="J6" s="12">
        <f t="shared" ref="J6" si="1">E6/K6</f>
        <v>428.09923664122135</v>
      </c>
      <c r="K6" s="13">
        <v>131</v>
      </c>
    </row>
    <row r="7" spans="1:11" ht="15" customHeight="1" x14ac:dyDescent="0.25">
      <c r="A7" s="11">
        <v>44387</v>
      </c>
      <c r="B7" s="8">
        <v>2082611.6199999999</v>
      </c>
      <c r="C7" s="8">
        <v>1898139.4800000002</v>
      </c>
      <c r="D7" s="8">
        <v>32575</v>
      </c>
      <c r="E7" s="8">
        <f t="shared" ref="E7" si="2">B7-C7-D7</f>
        <v>151897.13999999966</v>
      </c>
      <c r="F7" s="8">
        <f>ROUND($E7*0.36,2)-0.01</f>
        <v>54682.96</v>
      </c>
      <c r="G7" s="8">
        <f>ROUND($E7*0.17,2)</f>
        <v>25822.51</v>
      </c>
      <c r="H7" s="8">
        <f>ROUND($E7*0.047,2)</f>
        <v>7139.17</v>
      </c>
      <c r="I7" s="8">
        <f>ROUND($E7*0.423,2)+0.01</f>
        <v>64252.5</v>
      </c>
      <c r="J7" s="12">
        <f t="shared" ref="J7" si="3">E7/K7</f>
        <v>1100.7039130434757</v>
      </c>
      <c r="K7" s="13">
        <v>138</v>
      </c>
    </row>
    <row r="8" spans="1:11" ht="15" customHeight="1" x14ac:dyDescent="0.25">
      <c r="A8" s="11">
        <f t="shared" ref="A8:A57" si="4">A7+7</f>
        <v>44394</v>
      </c>
      <c r="B8" s="8">
        <v>1731094.7400000002</v>
      </c>
      <c r="C8" s="8">
        <v>1553483.6800000002</v>
      </c>
      <c r="D8" s="8">
        <v>26962</v>
      </c>
      <c r="E8" s="8">
        <f t="shared" ref="E8" si="5">B8-C8-D8</f>
        <v>150649.06000000006</v>
      </c>
      <c r="F8" s="8">
        <f>ROUND($E8*0.36,2)+0.04</f>
        <v>54233.700000000004</v>
      </c>
      <c r="G8" s="8">
        <f>ROUND($E8*0.17,2)-0.01</f>
        <v>25610.33</v>
      </c>
      <c r="H8" s="8">
        <f>ROUND($E8*0.047,2)-0.02</f>
        <v>7080.49</v>
      </c>
      <c r="I8" s="8">
        <f>ROUND($E8*0.423,2)-0.01</f>
        <v>63724.54</v>
      </c>
      <c r="J8" s="12">
        <f t="shared" ref="J8" si="6">E8/K8</f>
        <v>1076.0647142857147</v>
      </c>
      <c r="K8" s="13">
        <v>140</v>
      </c>
    </row>
    <row r="9" spans="1:11" ht="15" customHeight="1" x14ac:dyDescent="0.25">
      <c r="A9" s="11">
        <f t="shared" si="4"/>
        <v>44401</v>
      </c>
      <c r="B9" s="8">
        <v>1112108.71</v>
      </c>
      <c r="C9" s="8">
        <v>1002409.34</v>
      </c>
      <c r="D9" s="8">
        <v>18038</v>
      </c>
      <c r="E9" s="8">
        <f t="shared" ref="E9" si="7">B9-C9-D9</f>
        <v>91661.37</v>
      </c>
      <c r="F9" s="8">
        <f>ROUND($E9*0.36,2)-0.02</f>
        <v>32998.07</v>
      </c>
      <c r="G9" s="8">
        <f>ROUND($E9*0.17,2)+0.02</f>
        <v>15582.45</v>
      </c>
      <c r="H9" s="8">
        <f>ROUND($E9*0.047,2)+0.01</f>
        <v>4308.09</v>
      </c>
      <c r="I9" s="8">
        <f>ROUND($E9*0.423,2)</f>
        <v>38772.76</v>
      </c>
      <c r="J9" s="12">
        <f t="shared" ref="J9" si="8">E9/K9</f>
        <v>694.4043181818181</v>
      </c>
      <c r="K9" s="13">
        <v>132</v>
      </c>
    </row>
    <row r="10" spans="1:11" ht="15" customHeight="1" x14ac:dyDescent="0.25">
      <c r="A10" s="11">
        <f t="shared" si="4"/>
        <v>44408</v>
      </c>
      <c r="B10" s="8">
        <v>2333462.86</v>
      </c>
      <c r="C10" s="8">
        <v>2189877.1</v>
      </c>
      <c r="D10" s="8">
        <v>26857</v>
      </c>
      <c r="E10" s="8">
        <f t="shared" ref="E10" si="9">B10-C10-D10</f>
        <v>116728.75999999978</v>
      </c>
      <c r="F10" s="8">
        <f>ROUND($E10*0.36,2)-0.01</f>
        <v>42022.34</v>
      </c>
      <c r="G10" s="8">
        <f>ROUND($E10*0.17,2)</f>
        <v>19843.89</v>
      </c>
      <c r="H10" s="8">
        <f>ROUND($E10*0.047,2)</f>
        <v>5486.25</v>
      </c>
      <c r="I10" s="8">
        <f>ROUND($E10*0.423,2)+0.01</f>
        <v>49376.28</v>
      </c>
      <c r="J10" s="12">
        <f t="shared" ref="J10" si="10">E10/K10</f>
        <v>833.77685714285553</v>
      </c>
      <c r="K10" s="13">
        <v>140</v>
      </c>
    </row>
    <row r="11" spans="1:11" ht="15" customHeight="1" x14ac:dyDescent="0.25">
      <c r="A11" s="11">
        <f t="shared" si="4"/>
        <v>44415</v>
      </c>
      <c r="B11" s="8">
        <v>1464094.12</v>
      </c>
      <c r="C11" s="8">
        <v>1349003.8199999998</v>
      </c>
      <c r="D11" s="8">
        <v>15328</v>
      </c>
      <c r="E11" s="8">
        <f t="shared" ref="E11" si="11">B11-C11-D11</f>
        <v>99762.300000000279</v>
      </c>
      <c r="F11" s="8">
        <f>ROUND($E11*0.36,2)</f>
        <v>35914.43</v>
      </c>
      <c r="G11" s="8">
        <f>ROUND($E11*0.17,2)</f>
        <v>16959.59</v>
      </c>
      <c r="H11" s="8">
        <f>ROUND($E11*0.047,2)</f>
        <v>4688.83</v>
      </c>
      <c r="I11" s="8">
        <f>ROUND($E11*0.423,2)</f>
        <v>42199.45</v>
      </c>
      <c r="J11" s="12">
        <f t="shared" ref="J11" si="12">E11/K11</f>
        <v>717.71438848921059</v>
      </c>
      <c r="K11" s="13">
        <v>139</v>
      </c>
    </row>
    <row r="12" spans="1:11" ht="15" customHeight="1" x14ac:dyDescent="0.25">
      <c r="A12" s="11">
        <f t="shared" si="4"/>
        <v>44422</v>
      </c>
      <c r="B12" s="8">
        <v>1286961.6500000001</v>
      </c>
      <c r="C12" s="8">
        <v>1198357.04</v>
      </c>
      <c r="D12" s="8">
        <v>8715</v>
      </c>
      <c r="E12" s="8">
        <f t="shared" ref="E12" si="13">B12-C12-D12</f>
        <v>79889.610000000102</v>
      </c>
      <c r="F12" s="8">
        <f>ROUND($E12*0.36,2)+0.01</f>
        <v>28760.269999999997</v>
      </c>
      <c r="G12" s="8">
        <f>ROUND($E12*0.17,2)+0.01</f>
        <v>13581.24</v>
      </c>
      <c r="H12" s="8">
        <f>ROUND($E12*0.047,2)-0.01</f>
        <v>3754.7999999999997</v>
      </c>
      <c r="I12" s="8">
        <f>ROUND($E12*0.423,2)-0.01</f>
        <v>33793.299999999996</v>
      </c>
      <c r="J12" s="12">
        <f t="shared" ref="J12" si="14">E12/K12</f>
        <v>578.91021739130508</v>
      </c>
      <c r="K12" s="13">
        <v>138</v>
      </c>
    </row>
    <row r="13" spans="1:11" ht="15" customHeight="1" x14ac:dyDescent="0.25">
      <c r="A13" s="11">
        <f t="shared" si="4"/>
        <v>44429</v>
      </c>
      <c r="B13" s="8">
        <v>1518569.9100000001</v>
      </c>
      <c r="C13" s="8">
        <v>1325770.96</v>
      </c>
      <c r="D13" s="8">
        <v>15140</v>
      </c>
      <c r="E13" s="8">
        <f t="shared" ref="E13" si="15">B13-C13-D13</f>
        <v>177658.95000000019</v>
      </c>
      <c r="F13" s="8">
        <f>ROUND($E13*0.36,2)+0.01</f>
        <v>63957.23</v>
      </c>
      <c r="G13" s="8">
        <f>ROUND($E13*0.17,2)</f>
        <v>30202.02</v>
      </c>
      <c r="H13" s="8">
        <f>ROUND($E13*0.047,2)</f>
        <v>8349.9699999999993</v>
      </c>
      <c r="I13" s="8">
        <f>ROUND($E13*0.423,2)-0.01</f>
        <v>75149.73000000001</v>
      </c>
      <c r="J13" s="12">
        <f t="shared" ref="J13" si="16">E13/K13</f>
        <v>1306.3158088235307</v>
      </c>
      <c r="K13" s="13">
        <v>136</v>
      </c>
    </row>
    <row r="14" spans="1:11" ht="15" customHeight="1" x14ac:dyDescent="0.25">
      <c r="A14" s="11">
        <f t="shared" si="4"/>
        <v>44436</v>
      </c>
      <c r="B14" s="8">
        <v>2353818.36</v>
      </c>
      <c r="C14" s="8">
        <v>2163743</v>
      </c>
      <c r="D14" s="8">
        <v>20810</v>
      </c>
      <c r="E14" s="8">
        <f t="shared" ref="E14" si="17">B14-C14-D14</f>
        <v>169265.35999999987</v>
      </c>
      <c r="F14" s="8">
        <f>ROUND($E14*0.36,2)</f>
        <v>60935.53</v>
      </c>
      <c r="G14" s="8">
        <f>ROUND($E14*0.17,2)+0.01</f>
        <v>28775.119999999999</v>
      </c>
      <c r="H14" s="8">
        <f>ROUND($E14*0.047,2)</f>
        <v>7955.47</v>
      </c>
      <c r="I14" s="8">
        <f>ROUND($E14*0.423,2)-0.01</f>
        <v>71599.240000000005</v>
      </c>
      <c r="J14" s="12">
        <f t="shared" ref="J14" si="18">E14/K14</f>
        <v>1183.6738461538453</v>
      </c>
      <c r="K14" s="13">
        <v>143</v>
      </c>
    </row>
    <row r="15" spans="1:11" ht="15" customHeight="1" x14ac:dyDescent="0.25">
      <c r="A15" s="11">
        <f t="shared" si="4"/>
        <v>44443</v>
      </c>
      <c r="B15" s="8">
        <v>1887433.93</v>
      </c>
      <c r="C15" s="8">
        <v>1669584.8</v>
      </c>
      <c r="D15" s="8">
        <v>21737</v>
      </c>
      <c r="E15" s="8">
        <f t="shared" ref="E15" si="19">B15-C15-D15</f>
        <v>196112.12999999989</v>
      </c>
      <c r="F15" s="8">
        <f>ROUND($E15*0.36,2)-0.01</f>
        <v>70600.36</v>
      </c>
      <c r="G15" s="8">
        <f>ROUND($E15*0.17,2)+0.01</f>
        <v>33339.07</v>
      </c>
      <c r="H15" s="8">
        <f>ROUND($E15*0.047,2)</f>
        <v>9217.27</v>
      </c>
      <c r="I15" s="8">
        <f>ROUND($E15*0.423,2)</f>
        <v>82955.429999999993</v>
      </c>
      <c r="J15" s="12">
        <f t="shared" ref="J15" si="20">E15/K15</f>
        <v>1381.0713380281682</v>
      </c>
      <c r="K15" s="13">
        <v>142</v>
      </c>
    </row>
    <row r="16" spans="1:11" ht="15" customHeight="1" x14ac:dyDescent="0.25">
      <c r="A16" s="11">
        <f t="shared" si="4"/>
        <v>44450</v>
      </c>
      <c r="B16" s="8">
        <v>1720887.95</v>
      </c>
      <c r="C16" s="8">
        <v>1754131.57</v>
      </c>
      <c r="D16" s="8">
        <v>11170</v>
      </c>
      <c r="E16" s="8">
        <f t="shared" ref="E16" si="21">B16-C16-D16</f>
        <v>-44413.620000000112</v>
      </c>
      <c r="F16" s="8">
        <f>ROUND($E16*0.36,2)+0.01</f>
        <v>-15988.89</v>
      </c>
      <c r="G16" s="8">
        <f>ROUND($E16*0.17,2)</f>
        <v>-7550.32</v>
      </c>
      <c r="H16" s="8">
        <f>ROUND($E16*0.047,2)-0.01</f>
        <v>-2087.4500000000003</v>
      </c>
      <c r="I16" s="8">
        <f>ROUND($E16*0.423,2)</f>
        <v>-18786.96</v>
      </c>
      <c r="J16" s="12">
        <f t="shared" ref="J16" si="22">E16/K16</f>
        <v>-321.83782608695731</v>
      </c>
      <c r="K16" s="13">
        <v>138</v>
      </c>
    </row>
    <row r="17" spans="1:11" ht="15" customHeight="1" x14ac:dyDescent="0.25">
      <c r="A17" s="11">
        <f t="shared" si="4"/>
        <v>44457</v>
      </c>
      <c r="B17" s="8">
        <v>1462787.93</v>
      </c>
      <c r="C17" s="8">
        <v>1341908.02</v>
      </c>
      <c r="D17" s="8">
        <v>15197</v>
      </c>
      <c r="E17" s="8">
        <f t="shared" ref="E17" si="23">B17-C17-D17</f>
        <v>105682.90999999992</v>
      </c>
      <c r="F17" s="8">
        <f>ROUND($E17*0.36,2)+0.02</f>
        <v>38045.869999999995</v>
      </c>
      <c r="G17" s="8">
        <f>ROUND($E17*0.17,2)-0.01</f>
        <v>17966.080000000002</v>
      </c>
      <c r="H17" s="8">
        <f>ROUND($E17*0.047,2)-0.01</f>
        <v>4967.09</v>
      </c>
      <c r="I17" s="8">
        <f>ROUND($E17*0.423,2)</f>
        <v>44703.87</v>
      </c>
      <c r="J17" s="12">
        <f t="shared" ref="J17" si="24">E17/K17</f>
        <v>845.46327999999937</v>
      </c>
      <c r="K17" s="13">
        <v>125</v>
      </c>
    </row>
    <row r="18" spans="1:11" ht="15" customHeight="1" x14ac:dyDescent="0.25">
      <c r="A18" s="11">
        <f t="shared" si="4"/>
        <v>44464</v>
      </c>
      <c r="B18" s="8">
        <v>976289.74</v>
      </c>
      <c r="C18" s="8">
        <v>933806.39</v>
      </c>
      <c r="D18" s="8">
        <v>8535</v>
      </c>
      <c r="E18" s="8">
        <f t="shared" ref="E18" si="25">B18-C18-D18</f>
        <v>33948.349999999977</v>
      </c>
      <c r="F18" s="8">
        <f>ROUND($E18*0.36,2)+0.01</f>
        <v>12221.42</v>
      </c>
      <c r="G18" s="8">
        <f>ROUND($E18*0.17,2)-0.01</f>
        <v>5771.21</v>
      </c>
      <c r="H18" s="8">
        <f>ROUND($E18*0.047,2)</f>
        <v>1595.57</v>
      </c>
      <c r="I18" s="8">
        <f>ROUND($E18*0.423,2)</f>
        <v>14360.15</v>
      </c>
      <c r="J18" s="12">
        <f t="shared" ref="J18" si="26">E18/K18</f>
        <v>267.30984251968488</v>
      </c>
      <c r="K18" s="13">
        <v>127</v>
      </c>
    </row>
    <row r="19" spans="1:11" ht="15" customHeight="1" x14ac:dyDescent="0.25">
      <c r="A19" s="11">
        <f t="shared" si="4"/>
        <v>44471</v>
      </c>
      <c r="B19" s="8">
        <v>1307910.32</v>
      </c>
      <c r="C19" s="8">
        <v>1234341.17</v>
      </c>
      <c r="D19" s="8">
        <v>6855</v>
      </c>
      <c r="E19" s="8">
        <f t="shared" ref="E19" si="27">B19-C19-D19</f>
        <v>66714.15000000014</v>
      </c>
      <c r="F19" s="8">
        <f>ROUND($E19*0.36,2)+0.01</f>
        <v>24017.1</v>
      </c>
      <c r="G19" s="8">
        <f>ROUND($E19*0.17,2)</f>
        <v>11341.41</v>
      </c>
      <c r="H19" s="8">
        <f>ROUND($E19*0.047,2)-0.01</f>
        <v>3135.56</v>
      </c>
      <c r="I19" s="8">
        <f>ROUND($E19*0.423,2)-0.01</f>
        <v>28220.080000000002</v>
      </c>
      <c r="J19" s="12">
        <f t="shared" ref="J19" si="28">E19/K19</f>
        <v>463.2927083333343</v>
      </c>
      <c r="K19" s="13">
        <v>144</v>
      </c>
    </row>
    <row r="20" spans="1:11" ht="15" customHeight="1" x14ac:dyDescent="0.25">
      <c r="A20" s="11">
        <f t="shared" si="4"/>
        <v>44478</v>
      </c>
      <c r="B20" s="8">
        <v>1698894.5</v>
      </c>
      <c r="C20" s="8">
        <v>1514707.14</v>
      </c>
      <c r="D20" s="8">
        <v>21114</v>
      </c>
      <c r="E20" s="8">
        <f t="shared" ref="E20" si="29">B20-C20-D20</f>
        <v>163073.3600000001</v>
      </c>
      <c r="F20" s="8">
        <f>ROUND($E20*0.36,2)</f>
        <v>58706.41</v>
      </c>
      <c r="G20" s="8">
        <f>ROUND($E20*0.17,2)-0.01</f>
        <v>27722.460000000003</v>
      </c>
      <c r="H20" s="8">
        <f>ROUND($E20*0.047,2)</f>
        <v>7664.45</v>
      </c>
      <c r="I20" s="8">
        <f>ROUND($E20*0.423,2)+0.01</f>
        <v>68980.039999999994</v>
      </c>
      <c r="J20" s="12">
        <f t="shared" ref="J20" si="30">E20/K20</f>
        <v>1190.3164963503657</v>
      </c>
      <c r="K20" s="13">
        <v>137</v>
      </c>
    </row>
    <row r="21" spans="1:11" ht="15" customHeight="1" x14ac:dyDescent="0.25">
      <c r="A21" s="11">
        <f t="shared" si="4"/>
        <v>44485</v>
      </c>
      <c r="B21" s="8">
        <v>2388309.77</v>
      </c>
      <c r="C21" s="8">
        <v>2296110.27</v>
      </c>
      <c r="D21" s="8">
        <v>32918</v>
      </c>
      <c r="E21" s="8">
        <f t="shared" ref="E21" si="31">B21-C21-D21</f>
        <v>59281.5</v>
      </c>
      <c r="F21" s="8">
        <f>ROUND($E21*0.36,2)</f>
        <v>21341.34</v>
      </c>
      <c r="G21" s="8">
        <f>ROUND($E21*0.17,2)</f>
        <v>10077.86</v>
      </c>
      <c r="H21" s="8">
        <f>ROUND($E21*0.047,2)</f>
        <v>2786.23</v>
      </c>
      <c r="I21" s="8">
        <f>ROUND($E21*0.423,2)</f>
        <v>25076.07</v>
      </c>
      <c r="J21" s="12">
        <f t="shared" ref="J21" si="32">E21/K21</f>
        <v>384.94480519480521</v>
      </c>
      <c r="K21" s="13">
        <v>154</v>
      </c>
    </row>
    <row r="22" spans="1:11" ht="15" customHeight="1" x14ac:dyDescent="0.25">
      <c r="A22" s="11">
        <f t="shared" si="4"/>
        <v>44492</v>
      </c>
      <c r="B22" s="8">
        <v>2355191</v>
      </c>
      <c r="C22" s="8">
        <v>2219255.5699999998</v>
      </c>
      <c r="D22" s="8">
        <v>13915</v>
      </c>
      <c r="E22" s="8">
        <f t="shared" ref="E22" si="33">B22-C22-D22</f>
        <v>122020.43000000017</v>
      </c>
      <c r="F22" s="8">
        <f>ROUND($E22*0.36,2)+0.01</f>
        <v>43927.360000000001</v>
      </c>
      <c r="G22" s="8">
        <f>ROUND($E22*0.17,2)</f>
        <v>20743.47</v>
      </c>
      <c r="H22" s="8">
        <f>ROUND($E22*0.047,2)-0.01</f>
        <v>5734.95</v>
      </c>
      <c r="I22" s="8">
        <f>ROUND($E22*0.423,2)+0.01</f>
        <v>51614.65</v>
      </c>
      <c r="J22" s="12">
        <f t="shared" ref="J22" si="34">E22/K22</f>
        <v>792.3404545454556</v>
      </c>
      <c r="K22" s="13">
        <v>154</v>
      </c>
    </row>
    <row r="23" spans="1:11" ht="15" customHeight="1" x14ac:dyDescent="0.25">
      <c r="A23" s="11">
        <f t="shared" si="4"/>
        <v>44499</v>
      </c>
      <c r="B23" s="8">
        <v>1859145.0999999999</v>
      </c>
      <c r="C23" s="8">
        <v>1659873.71</v>
      </c>
      <c r="D23" s="8">
        <v>10398</v>
      </c>
      <c r="E23" s="8">
        <f t="shared" ref="E23" si="35">B23-C23-D23</f>
        <v>188873.3899999999</v>
      </c>
      <c r="F23" s="8">
        <f>ROUND($E23*0.36,2)+0.01</f>
        <v>67994.429999999993</v>
      </c>
      <c r="G23" s="8">
        <f>ROUND($E23*0.17,2)-0.01</f>
        <v>32108.47</v>
      </c>
      <c r="H23" s="8">
        <f>ROUND($E23*0.047,2)</f>
        <v>8877.0499999999993</v>
      </c>
      <c r="I23" s="8">
        <f>ROUND($E23*0.423,2)</f>
        <v>79893.440000000002</v>
      </c>
      <c r="J23" s="12">
        <f t="shared" ref="J23" si="36">E23/K23</f>
        <v>1259.1559333333325</v>
      </c>
      <c r="K23" s="13">
        <v>150</v>
      </c>
    </row>
    <row r="24" spans="1:11" ht="15" customHeight="1" x14ac:dyDescent="0.25">
      <c r="A24" s="11">
        <f t="shared" si="4"/>
        <v>44506</v>
      </c>
      <c r="B24" s="8">
        <v>995889.82000000007</v>
      </c>
      <c r="C24" s="8">
        <v>924152.9</v>
      </c>
      <c r="D24" s="8">
        <v>9192</v>
      </c>
      <c r="E24" s="8">
        <f t="shared" ref="E24" si="37">B24-C24-D24</f>
        <v>62544.920000000042</v>
      </c>
      <c r="F24" s="8">
        <f>ROUND($E24*0.36,2)</f>
        <v>22516.17</v>
      </c>
      <c r="G24" s="8">
        <f>ROUND($E24*0.17,2)</f>
        <v>10632.64</v>
      </c>
      <c r="H24" s="8">
        <f>ROUND($E24*0.047,2)+0.01</f>
        <v>2939.6200000000003</v>
      </c>
      <c r="I24" s="8">
        <f>ROUND($E24*0.423,2)-0.01</f>
        <v>26456.49</v>
      </c>
      <c r="J24" s="12">
        <f t="shared" ref="J24" si="38">E24/K24</f>
        <v>558.43678571428609</v>
      </c>
      <c r="K24" s="13">
        <v>112</v>
      </c>
    </row>
    <row r="25" spans="1:11" ht="15" customHeight="1" x14ac:dyDescent="0.25">
      <c r="A25" s="11">
        <f t="shared" si="4"/>
        <v>44513</v>
      </c>
      <c r="B25" s="8">
        <v>1552698.64</v>
      </c>
      <c r="C25" s="8">
        <v>1400086.39</v>
      </c>
      <c r="D25" s="8">
        <v>9524</v>
      </c>
      <c r="E25" s="8">
        <f t="shared" ref="E25" si="39">B25-C25-D25</f>
        <v>143088.25</v>
      </c>
      <c r="F25" s="8">
        <f>ROUND($E25*0.36,2)+0.02</f>
        <v>51511.789999999994</v>
      </c>
      <c r="G25" s="8">
        <f>ROUND($E25*0.17,2)</f>
        <v>24325</v>
      </c>
      <c r="H25" s="8">
        <f>ROUND($E25*0.047,2)</f>
        <v>6725.15</v>
      </c>
      <c r="I25" s="8">
        <f>ROUND($E25*0.423,2)-0.02</f>
        <v>60526.310000000005</v>
      </c>
      <c r="J25" s="12">
        <f t="shared" ref="J25" si="40">E25/K25</f>
        <v>973.38945578231289</v>
      </c>
      <c r="K25" s="13">
        <v>147</v>
      </c>
    </row>
    <row r="26" spans="1:11" ht="15" customHeight="1" x14ac:dyDescent="0.25">
      <c r="A26" s="11">
        <f t="shared" si="4"/>
        <v>44520</v>
      </c>
      <c r="B26" s="8">
        <v>1423096.9000000001</v>
      </c>
      <c r="C26" s="8">
        <v>1288422.06</v>
      </c>
      <c r="D26" s="8">
        <v>20826</v>
      </c>
      <c r="E26" s="8">
        <f t="shared" ref="E26" si="41">B26-C26-D26</f>
        <v>113848.84000000008</v>
      </c>
      <c r="F26" s="8">
        <f>ROUND($E26*0.36,2)</f>
        <v>40985.58</v>
      </c>
      <c r="G26" s="8">
        <f>ROUND($E26*0.17,2)+0.02</f>
        <v>19354.32</v>
      </c>
      <c r="H26" s="8">
        <f>ROUND($E26*0.047,2)-0.01</f>
        <v>5350.8899999999994</v>
      </c>
      <c r="I26" s="8">
        <f>ROUND($E26*0.423,2)-0.01</f>
        <v>48158.049999999996</v>
      </c>
      <c r="J26" s="12">
        <f t="shared" ref="J26" si="42">E26/K26</f>
        <v>801.75239436619779</v>
      </c>
      <c r="K26" s="13">
        <v>142</v>
      </c>
    </row>
    <row r="27" spans="1:11" ht="15" customHeight="1" x14ac:dyDescent="0.25">
      <c r="A27" s="11">
        <f t="shared" si="4"/>
        <v>44527</v>
      </c>
      <c r="B27" s="8">
        <v>1661756.6600000001</v>
      </c>
      <c r="C27" s="8">
        <v>1546140.7799999998</v>
      </c>
      <c r="D27" s="8">
        <v>18919</v>
      </c>
      <c r="E27" s="8">
        <f t="shared" ref="E27" si="43">B27-C27-D27</f>
        <v>96696.880000000354</v>
      </c>
      <c r="F27" s="8">
        <f>ROUND($E27*0.36,2)-0.01</f>
        <v>34810.869999999995</v>
      </c>
      <c r="G27" s="8">
        <f>ROUND($E27*0.17,2)</f>
        <v>16438.47</v>
      </c>
      <c r="H27" s="8">
        <f>ROUND($E27*0.047,2)+0.01</f>
        <v>4544.76</v>
      </c>
      <c r="I27" s="8">
        <f>ROUND($E27*0.423,2)</f>
        <v>40902.78</v>
      </c>
      <c r="J27" s="12">
        <f t="shared" ref="J27" si="44">E27/K27</f>
        <v>676.20195804196055</v>
      </c>
      <c r="K27" s="13">
        <v>143</v>
      </c>
    </row>
    <row r="28" spans="1:11" ht="15" customHeight="1" x14ac:dyDescent="0.25">
      <c r="A28" s="11">
        <f t="shared" si="4"/>
        <v>44534</v>
      </c>
      <c r="B28" s="8">
        <v>1821708.54</v>
      </c>
      <c r="C28" s="8">
        <v>1678437.7499999998</v>
      </c>
      <c r="D28" s="8">
        <v>21929</v>
      </c>
      <c r="E28" s="8">
        <f t="shared" ref="E28" si="45">B28-C28-D28</f>
        <v>121341.79000000027</v>
      </c>
      <c r="F28" s="8">
        <f>ROUND($E28*0.36,2)+0.01</f>
        <v>43683.05</v>
      </c>
      <c r="G28" s="8">
        <f>ROUND($E28*0.17,2)+0.01</f>
        <v>20628.109999999997</v>
      </c>
      <c r="H28" s="8">
        <f>ROUND($E28*0.047,2)</f>
        <v>5703.06</v>
      </c>
      <c r="I28" s="8">
        <f>ROUND($E28*0.423,2)-0.01</f>
        <v>51327.57</v>
      </c>
      <c r="J28" s="12">
        <f t="shared" ref="J28" si="46">E28/K28</f>
        <v>860.58007092198773</v>
      </c>
      <c r="K28" s="13">
        <v>141</v>
      </c>
    </row>
    <row r="29" spans="1:11" ht="15" customHeight="1" x14ac:dyDescent="0.25">
      <c r="A29" s="11">
        <f t="shared" si="4"/>
        <v>44541</v>
      </c>
      <c r="B29" s="8">
        <v>1294770.47</v>
      </c>
      <c r="C29" s="8">
        <v>1190373.26</v>
      </c>
      <c r="D29" s="8">
        <v>13509</v>
      </c>
      <c r="E29" s="8">
        <f t="shared" ref="E29" si="47">B29-C29-D29</f>
        <v>90888.209999999963</v>
      </c>
      <c r="F29" s="8">
        <f>ROUND($E29*0.36,2)+0.01</f>
        <v>32719.769999999997</v>
      </c>
      <c r="G29" s="8">
        <f>ROUND($E29*0.17,2)-0.02</f>
        <v>15450.98</v>
      </c>
      <c r="H29" s="8">
        <f>ROUND($E29*0.047,2)</f>
        <v>4271.75</v>
      </c>
      <c r="I29" s="8">
        <f>ROUND($E29*0.423,2)</f>
        <v>38445.71</v>
      </c>
      <c r="J29" s="12">
        <f t="shared" ref="J29" si="48">E29/K29</f>
        <v>590.18318181818154</v>
      </c>
      <c r="K29" s="13">
        <v>154</v>
      </c>
    </row>
    <row r="30" spans="1:11" ht="15" customHeight="1" x14ac:dyDescent="0.25">
      <c r="A30" s="11">
        <f t="shared" si="4"/>
        <v>44548</v>
      </c>
      <c r="B30" s="8">
        <v>1863240.6099999999</v>
      </c>
      <c r="C30" s="8">
        <v>1738324.71</v>
      </c>
      <c r="D30" s="8">
        <v>17094</v>
      </c>
      <c r="E30" s="8">
        <f t="shared" ref="E30" si="49">B30-C30-D30</f>
        <v>107821.89999999991</v>
      </c>
      <c r="F30" s="8">
        <f>ROUND($E30*0.36,2)</f>
        <v>38815.879999999997</v>
      </c>
      <c r="G30" s="8">
        <f>ROUND($E30*0.17,2)</f>
        <v>18329.72</v>
      </c>
      <c r="H30" s="8">
        <f>ROUND($E30*0.047,2)</f>
        <v>5067.63</v>
      </c>
      <c r="I30" s="8">
        <f>ROUND($E30*0.423,2)+0.01</f>
        <v>45608.670000000006</v>
      </c>
      <c r="J30" s="12">
        <f t="shared" ref="J30" si="50">E30/K30</f>
        <v>678.12515723270383</v>
      </c>
      <c r="K30" s="13">
        <v>159</v>
      </c>
    </row>
    <row r="31" spans="1:11" ht="15" customHeight="1" x14ac:dyDescent="0.25">
      <c r="A31" s="11">
        <f t="shared" si="4"/>
        <v>44555</v>
      </c>
      <c r="B31" s="8">
        <v>1149967.17</v>
      </c>
      <c r="C31" s="8">
        <v>1060573.3399999999</v>
      </c>
      <c r="D31" s="8">
        <v>14101</v>
      </c>
      <c r="E31" s="8">
        <f t="shared" ref="E31" si="51">B31-C31-D31</f>
        <v>75292.830000000075</v>
      </c>
      <c r="F31" s="8">
        <f>ROUND($E31*0.36,2)-0.01</f>
        <v>27105.41</v>
      </c>
      <c r="G31" s="8">
        <f>ROUND($E31*0.17,2)</f>
        <v>12799.78</v>
      </c>
      <c r="H31" s="8">
        <f>ROUND($E31*0.047,2)+0.01</f>
        <v>3538.7700000000004</v>
      </c>
      <c r="I31" s="8">
        <f>ROUND($E31*0.423,2)</f>
        <v>31848.87</v>
      </c>
      <c r="J31" s="12">
        <f t="shared" ref="J31" si="52">E31/K31</f>
        <v>570.40022727272788</v>
      </c>
      <c r="K31" s="13">
        <v>132</v>
      </c>
    </row>
    <row r="32" spans="1:11" ht="15" customHeight="1" x14ac:dyDescent="0.25">
      <c r="A32" s="11">
        <f t="shared" si="4"/>
        <v>44562</v>
      </c>
      <c r="B32" s="8">
        <v>1759812.24</v>
      </c>
      <c r="C32" s="8">
        <v>1568488.25</v>
      </c>
      <c r="D32" s="8">
        <v>17041</v>
      </c>
      <c r="E32" s="8">
        <f t="shared" ref="E32" si="53">B32-C32-D32</f>
        <v>174282.99</v>
      </c>
      <c r="F32" s="8">
        <f>ROUND($E32*0.36,2)</f>
        <v>62741.88</v>
      </c>
      <c r="G32" s="8">
        <f>ROUND($E32*0.17,2)</f>
        <v>29628.11</v>
      </c>
      <c r="H32" s="8">
        <f>ROUND($E32*0.047,2)-0.01</f>
        <v>8191.29</v>
      </c>
      <c r="I32" s="8">
        <f>ROUND($E32*0.423,2)+0.01</f>
        <v>73721.709999999992</v>
      </c>
      <c r="J32" s="12">
        <f t="shared" ref="J32" si="54">E32/K32</f>
        <v>1131.7077272727272</v>
      </c>
      <c r="K32" s="13">
        <v>154</v>
      </c>
    </row>
    <row r="33" spans="1:11" ht="15" customHeight="1" x14ac:dyDescent="0.25">
      <c r="A33" s="11">
        <f t="shared" si="4"/>
        <v>44569</v>
      </c>
      <c r="B33" s="8">
        <v>1759357.26</v>
      </c>
      <c r="C33" s="8">
        <v>1556856.0499999998</v>
      </c>
      <c r="D33" s="8">
        <v>34275</v>
      </c>
      <c r="E33" s="8">
        <f t="shared" ref="E33" si="55">B33-C33-D33</f>
        <v>168226.2100000002</v>
      </c>
      <c r="F33" s="8">
        <f>ROUND($E33*0.36,2)-0.01</f>
        <v>60561.43</v>
      </c>
      <c r="G33" s="8">
        <f>ROUND($E33*0.17,2)</f>
        <v>28598.46</v>
      </c>
      <c r="H33" s="8">
        <f>ROUND($E33*0.047,2)+0.01</f>
        <v>7906.64</v>
      </c>
      <c r="I33" s="8">
        <f>ROUND($E33*0.423,2)-0.01</f>
        <v>71159.680000000008</v>
      </c>
      <c r="J33" s="12">
        <f t="shared" ref="J33" si="56">E33/K33</f>
        <v>1255.4194776119418</v>
      </c>
      <c r="K33" s="13">
        <v>134</v>
      </c>
    </row>
    <row r="34" spans="1:11" ht="15" customHeight="1" x14ac:dyDescent="0.25">
      <c r="A34" s="11">
        <f t="shared" si="4"/>
        <v>44576</v>
      </c>
      <c r="B34" s="8">
        <v>1047225.6399999999</v>
      </c>
      <c r="C34" s="8">
        <v>987944.75</v>
      </c>
      <c r="D34" s="8">
        <v>5430</v>
      </c>
      <c r="E34" s="8">
        <f t="shared" ref="E34" si="57">B34-C34-D34</f>
        <v>53850.889999999898</v>
      </c>
      <c r="F34" s="8">
        <f>ROUND($E34*0.36,2)+0.01</f>
        <v>19386.329999999998</v>
      </c>
      <c r="G34" s="8">
        <f>ROUND($E34*0.17,2)</f>
        <v>9154.65</v>
      </c>
      <c r="H34" s="8">
        <f>ROUND($E34*0.047,2)-0.01</f>
        <v>2530.9799999999996</v>
      </c>
      <c r="I34" s="8">
        <f>ROUND($E34*0.423,2)</f>
        <v>22778.93</v>
      </c>
      <c r="J34" s="12">
        <f t="shared" ref="J34" si="58">E34/K34</f>
        <v>427.38801587301504</v>
      </c>
      <c r="K34" s="13">
        <v>126</v>
      </c>
    </row>
    <row r="35" spans="1:11" ht="15" customHeight="1" x14ac:dyDescent="0.25">
      <c r="A35" s="11">
        <f t="shared" si="4"/>
        <v>44583</v>
      </c>
      <c r="B35" s="8">
        <v>1310312.5099999998</v>
      </c>
      <c r="C35" s="8">
        <v>1174870.2199999997</v>
      </c>
      <c r="D35" s="8">
        <v>4880</v>
      </c>
      <c r="E35" s="8">
        <f t="shared" ref="E35" si="59">B35-C35-D35</f>
        <v>130562.29000000004</v>
      </c>
      <c r="F35" s="8">
        <f>ROUND($E35*0.36,2)+0.01</f>
        <v>47002.43</v>
      </c>
      <c r="G35" s="8">
        <f>ROUND($E35*0.17,2)-0.01</f>
        <v>22195.58</v>
      </c>
      <c r="H35" s="8">
        <f>ROUND($E35*0.047,2)+0.01</f>
        <v>6136.4400000000005</v>
      </c>
      <c r="I35" s="8">
        <f>ROUND($E35*0.423,2)-0.01</f>
        <v>55227.839999999997</v>
      </c>
      <c r="J35" s="12">
        <f t="shared" ref="J35" si="60">E35/K35</f>
        <v>842.33735483870987</v>
      </c>
      <c r="K35" s="13">
        <v>155</v>
      </c>
    </row>
    <row r="36" spans="1:11" ht="15" customHeight="1" x14ac:dyDescent="0.25">
      <c r="A36" s="11">
        <f t="shared" si="4"/>
        <v>44590</v>
      </c>
      <c r="B36" s="8">
        <v>863393.05</v>
      </c>
      <c r="C36" s="8">
        <v>805937.34</v>
      </c>
      <c r="D36" s="8">
        <v>9706</v>
      </c>
      <c r="E36" s="8">
        <f t="shared" ref="E36" si="61">B36-C36-D36</f>
        <v>47749.710000000079</v>
      </c>
      <c r="F36" s="8">
        <f>ROUND($E36*0.36,2)</f>
        <v>17189.900000000001</v>
      </c>
      <c r="G36" s="8">
        <f>ROUND($E36*0.17,2)</f>
        <v>8117.45</v>
      </c>
      <c r="H36" s="8">
        <f>ROUND($E36*0.047,2)-0.01</f>
        <v>2244.2299999999996</v>
      </c>
      <c r="I36" s="8">
        <f>ROUND($E36*0.423,2)</f>
        <v>20198.13</v>
      </c>
      <c r="J36" s="12">
        <f t="shared" ref="J36" si="62">E36/K36</f>
        <v>356.34111940298567</v>
      </c>
      <c r="K36" s="13">
        <v>134</v>
      </c>
    </row>
    <row r="37" spans="1:11" ht="15" customHeight="1" x14ac:dyDescent="0.25">
      <c r="A37" s="11">
        <f t="shared" si="4"/>
        <v>44597</v>
      </c>
      <c r="B37" s="8">
        <v>980160.75</v>
      </c>
      <c r="C37" s="8">
        <v>860420.72</v>
      </c>
      <c r="D37" s="8">
        <v>5434</v>
      </c>
      <c r="E37" s="8">
        <f t="shared" ref="E37" si="63">B37-C37-D37</f>
        <v>114306.03000000003</v>
      </c>
      <c r="F37" s="8">
        <f>ROUND($E37*0.36,2)-0.01</f>
        <v>41150.159999999996</v>
      </c>
      <c r="G37" s="8">
        <f>ROUND($E37*0.17,2)</f>
        <v>19432.03</v>
      </c>
      <c r="H37" s="8">
        <f>ROUND($E37*0.047,2)+0.01</f>
        <v>5372.39</v>
      </c>
      <c r="I37" s="8">
        <f>ROUND($E37*0.423,2)</f>
        <v>48351.45</v>
      </c>
      <c r="J37" s="12">
        <f t="shared" ref="J37" si="64">E37/K37</f>
        <v>968.69516949152569</v>
      </c>
      <c r="K37" s="13">
        <v>118</v>
      </c>
    </row>
    <row r="38" spans="1:11" ht="15" customHeight="1" x14ac:dyDescent="0.25">
      <c r="A38" s="11">
        <f t="shared" si="4"/>
        <v>44604</v>
      </c>
      <c r="B38" s="8">
        <v>2241554.39</v>
      </c>
      <c r="C38" s="8">
        <v>2071683.0399999998</v>
      </c>
      <c r="D38" s="8">
        <v>19550</v>
      </c>
      <c r="E38" s="8">
        <f t="shared" ref="E38" si="65">B38-C38-D38</f>
        <v>150321.35000000033</v>
      </c>
      <c r="F38" s="8">
        <f>ROUND($E38*0.36,2)-0.01</f>
        <v>54115.68</v>
      </c>
      <c r="G38" s="8">
        <f>ROUND($E38*0.17,2)</f>
        <v>25554.63</v>
      </c>
      <c r="H38" s="8">
        <f>ROUND($E38*0.047,2)+0.01</f>
        <v>7065.1100000000006</v>
      </c>
      <c r="I38" s="8">
        <f>ROUND($E38*0.423,2)</f>
        <v>63585.93</v>
      </c>
      <c r="J38" s="12">
        <f t="shared" ref="J38" si="66">E38/K38</f>
        <v>1202.5708000000027</v>
      </c>
      <c r="K38" s="13">
        <v>125</v>
      </c>
    </row>
    <row r="39" spans="1:11" ht="15" customHeight="1" x14ac:dyDescent="0.25">
      <c r="A39" s="11">
        <f t="shared" si="4"/>
        <v>44611</v>
      </c>
      <c r="B39" s="8">
        <v>1277345.45</v>
      </c>
      <c r="C39" s="8">
        <v>1160448.3</v>
      </c>
      <c r="D39" s="8">
        <v>12925</v>
      </c>
      <c r="E39" s="8">
        <f t="shared" ref="E39" si="67">B39-C39-D39</f>
        <v>103972.14999999991</v>
      </c>
      <c r="F39" s="8">
        <f>ROUND($E39*0.36,2)+0.03</f>
        <v>37430</v>
      </c>
      <c r="G39" s="8">
        <f>ROUND($E39*0.17,2)-0.01</f>
        <v>17675.260000000002</v>
      </c>
      <c r="H39" s="8">
        <f>ROUND($E39*0.047,2)-0.01</f>
        <v>4886.6799999999994</v>
      </c>
      <c r="I39" s="8">
        <f>ROUND($E39*0.423,2)-0.01</f>
        <v>43980.21</v>
      </c>
      <c r="J39" s="12">
        <f t="shared" ref="J39" si="68">E39/K39</f>
        <v>742.6582142857136</v>
      </c>
      <c r="K39" s="13">
        <v>140</v>
      </c>
    </row>
    <row r="40" spans="1:11" ht="15" customHeight="1" x14ac:dyDescent="0.25">
      <c r="A40" s="11">
        <f t="shared" si="4"/>
        <v>44618</v>
      </c>
      <c r="B40" s="8">
        <v>1659003.05</v>
      </c>
      <c r="C40" s="8">
        <v>1476166.01</v>
      </c>
      <c r="D40" s="8">
        <v>11580</v>
      </c>
      <c r="E40" s="8">
        <f t="shared" ref="E40" si="69">B40-C40-D40</f>
        <v>171257.04000000004</v>
      </c>
      <c r="F40" s="8">
        <f>ROUND($E40*0.36,2)+0.01</f>
        <v>61652.54</v>
      </c>
      <c r="G40" s="8">
        <f>ROUND($E40*0.17,2)</f>
        <v>29113.7</v>
      </c>
      <c r="H40" s="8">
        <f>ROUND($E40*0.047,2)</f>
        <v>8049.08</v>
      </c>
      <c r="I40" s="8">
        <f>ROUND($E40*0.423,2)-0.01</f>
        <v>72441.72</v>
      </c>
      <c r="J40" s="12">
        <f t="shared" ref="J40" si="70">E40/K40</f>
        <v>1126.6910526315792</v>
      </c>
      <c r="K40" s="13">
        <v>152</v>
      </c>
    </row>
    <row r="41" spans="1:11" ht="15" customHeight="1" x14ac:dyDescent="0.25">
      <c r="A41" s="11">
        <f t="shared" si="4"/>
        <v>44625</v>
      </c>
      <c r="B41" s="8">
        <v>873271.87</v>
      </c>
      <c r="C41" s="8">
        <v>799240.78</v>
      </c>
      <c r="D41" s="8">
        <v>11885</v>
      </c>
      <c r="E41" s="8">
        <f t="shared" ref="E41" si="71">B41-C41-D41</f>
        <v>62146.089999999967</v>
      </c>
      <c r="F41" s="8">
        <f>ROUND($E41*0.36,2)+0.01</f>
        <v>22372.6</v>
      </c>
      <c r="G41" s="8">
        <f>ROUND($E41*0.17,2)-0.02</f>
        <v>10564.82</v>
      </c>
      <c r="H41" s="8">
        <f>ROUND($E41*0.047,2)</f>
        <v>2920.87</v>
      </c>
      <c r="I41" s="8">
        <f>ROUND($E41*0.423,2)</f>
        <v>26287.8</v>
      </c>
      <c r="J41" s="12">
        <f t="shared" ref="J41" si="72">E41/K41</f>
        <v>481.75263565891447</v>
      </c>
      <c r="K41" s="13">
        <v>129</v>
      </c>
    </row>
    <row r="42" spans="1:11" ht="15" customHeight="1" x14ac:dyDescent="0.25">
      <c r="A42" s="11">
        <f t="shared" si="4"/>
        <v>44632</v>
      </c>
      <c r="B42" s="8">
        <v>1217472.28</v>
      </c>
      <c r="C42" s="8">
        <v>1135599.23</v>
      </c>
      <c r="D42" s="8">
        <v>23430</v>
      </c>
      <c r="E42" s="8">
        <f t="shared" ref="E42" si="73">B42-C42-D42</f>
        <v>58443.050000000047</v>
      </c>
      <c r="F42" s="8">
        <f>ROUND($E42*0.36,2)</f>
        <v>21039.5</v>
      </c>
      <c r="G42" s="8">
        <f>ROUND($E42*0.17,2)</f>
        <v>9935.32</v>
      </c>
      <c r="H42" s="8">
        <f>ROUND($E42*0.047,2)</f>
        <v>2746.82</v>
      </c>
      <c r="I42" s="8">
        <f>ROUND($E42*0.423,2)</f>
        <v>24721.41</v>
      </c>
      <c r="J42" s="12">
        <f t="shared" ref="J42" si="74">E42/K42</f>
        <v>414.48971631205706</v>
      </c>
      <c r="K42" s="13">
        <v>141</v>
      </c>
    </row>
    <row r="43" spans="1:11" ht="15" customHeight="1" x14ac:dyDescent="0.25">
      <c r="A43" s="11">
        <f t="shared" si="4"/>
        <v>44639</v>
      </c>
      <c r="B43" s="8">
        <v>932360.4</v>
      </c>
      <c r="C43" s="8">
        <v>892373.22</v>
      </c>
      <c r="D43" s="8">
        <v>16935</v>
      </c>
      <c r="E43" s="8">
        <f t="shared" ref="E43" si="75">B43-C43-D43</f>
        <v>23052.180000000051</v>
      </c>
      <c r="F43" s="8">
        <f>ROUND($E43*0.36,2)-0.01</f>
        <v>8298.77</v>
      </c>
      <c r="G43" s="8">
        <f>ROUND($E43*0.17,2)</f>
        <v>3918.87</v>
      </c>
      <c r="H43" s="8">
        <f>ROUND($E43*0.047,2)+0.01</f>
        <v>1083.46</v>
      </c>
      <c r="I43" s="8">
        <f>ROUND($E43*0.423,2)+0.01</f>
        <v>9751.08</v>
      </c>
      <c r="J43" s="12">
        <f t="shared" ref="J43" si="76">E43/K43</f>
        <v>161.20405594405631</v>
      </c>
      <c r="K43" s="13">
        <v>143</v>
      </c>
    </row>
    <row r="44" spans="1:11" ht="15" customHeight="1" x14ac:dyDescent="0.25">
      <c r="A44" s="11">
        <f t="shared" si="4"/>
        <v>44646</v>
      </c>
      <c r="B44" s="8">
        <v>977534.09000000008</v>
      </c>
      <c r="C44" s="8">
        <v>854789.58</v>
      </c>
      <c r="D44" s="8">
        <v>12990</v>
      </c>
      <c r="E44" s="8">
        <f t="shared" ref="E44" si="77">B44-C44-D44</f>
        <v>109754.51000000013</v>
      </c>
      <c r="F44" s="8">
        <f>ROUND($E44*0.36,2)-0.02</f>
        <v>39511.600000000006</v>
      </c>
      <c r="G44" s="8">
        <f>ROUND($E44*0.17,2)+0.02</f>
        <v>18658.29</v>
      </c>
      <c r="H44" s="8">
        <f>ROUND($E44*0.047,2)</f>
        <v>5158.46</v>
      </c>
      <c r="I44" s="8">
        <f>ROUND($E44*0.423,2)</f>
        <v>46426.16</v>
      </c>
      <c r="J44" s="12">
        <f t="shared" ref="J44" si="78">E44/K44</f>
        <v>762.18409722222304</v>
      </c>
      <c r="K44" s="13">
        <v>144</v>
      </c>
    </row>
    <row r="45" spans="1:11" ht="15" customHeight="1" x14ac:dyDescent="0.25">
      <c r="A45" s="11">
        <f t="shared" si="4"/>
        <v>44653</v>
      </c>
      <c r="B45" s="8">
        <v>895071.3</v>
      </c>
      <c r="C45" s="8">
        <v>845666.8899999999</v>
      </c>
      <c r="D45" s="8">
        <v>14602</v>
      </c>
      <c r="E45" s="8">
        <f t="shared" ref="E45" si="79">B45-C45-D45</f>
        <v>34802.410000000149</v>
      </c>
      <c r="F45" s="8">
        <f>ROUND($E45*0.36,2)-0.01</f>
        <v>12528.86</v>
      </c>
      <c r="G45" s="8">
        <f>ROUND($E45*0.17,2)</f>
        <v>5916.41</v>
      </c>
      <c r="H45" s="8">
        <f>ROUND($E45*0.047,2)</f>
        <v>1635.71</v>
      </c>
      <c r="I45" s="8">
        <f>ROUND($E45*0.423,2)+0.01</f>
        <v>14721.43</v>
      </c>
      <c r="J45" s="12">
        <f t="shared" ref="J45" si="80">E45/K45</f>
        <v>248.58864285714392</v>
      </c>
      <c r="K45" s="13">
        <v>140</v>
      </c>
    </row>
    <row r="46" spans="1:11" ht="15" customHeight="1" x14ac:dyDescent="0.25">
      <c r="A46" s="11">
        <f t="shared" si="4"/>
        <v>44660</v>
      </c>
      <c r="B46" s="8">
        <v>1176614.08</v>
      </c>
      <c r="C46" s="8">
        <v>1226622.69</v>
      </c>
      <c r="D46" s="8">
        <v>18740</v>
      </c>
      <c r="E46" s="8">
        <f t="shared" ref="E46" si="81">B46-C46-D46</f>
        <v>-68748.60999999987</v>
      </c>
      <c r="F46" s="8">
        <f>ROUND($E46*0.36,2)-0.02</f>
        <v>-24749.52</v>
      </c>
      <c r="G46" s="8">
        <f>ROUND($E46*0.17,2)</f>
        <v>-11687.26</v>
      </c>
      <c r="H46" s="8">
        <f>ROUND($E46*0.047,2)</f>
        <v>-3231.18</v>
      </c>
      <c r="I46" s="8">
        <f>ROUND($E46*0.423,2)+0.01</f>
        <v>-29080.65</v>
      </c>
      <c r="J46" s="12">
        <f t="shared" ref="J46" si="82">E46/K46</f>
        <v>-563.51319672131035</v>
      </c>
      <c r="K46" s="13">
        <v>122</v>
      </c>
    </row>
    <row r="47" spans="1:11" ht="15" customHeight="1" x14ac:dyDescent="0.25">
      <c r="A47" s="11">
        <f t="shared" si="4"/>
        <v>44667</v>
      </c>
      <c r="B47" s="8">
        <v>643356.04</v>
      </c>
      <c r="C47" s="8">
        <v>559189.52</v>
      </c>
      <c r="D47" s="8">
        <v>11078</v>
      </c>
      <c r="E47" s="8">
        <f t="shared" ref="E47" si="83">B47-C47-D47</f>
        <v>73088.520000000019</v>
      </c>
      <c r="F47" s="8">
        <f>ROUND($E47*0.36,2)-0.01</f>
        <v>26311.86</v>
      </c>
      <c r="G47" s="8">
        <f>ROUND($E47*0.17,2)</f>
        <v>12425.05</v>
      </c>
      <c r="H47" s="8">
        <f>ROUND($E47*0.047,2)+0.01</f>
        <v>3435.17</v>
      </c>
      <c r="I47" s="8">
        <f>ROUND($E47*0.423,2)</f>
        <v>30916.44</v>
      </c>
      <c r="J47" s="12">
        <f t="shared" ref="J47" si="84">E47/K47</f>
        <v>549.53774436090237</v>
      </c>
      <c r="K47" s="13">
        <v>133</v>
      </c>
    </row>
    <row r="48" spans="1:11" ht="15" customHeight="1" x14ac:dyDescent="0.25">
      <c r="A48" s="11">
        <f t="shared" si="4"/>
        <v>44674</v>
      </c>
      <c r="B48" s="8">
        <v>744920.49</v>
      </c>
      <c r="C48" s="8">
        <v>659088.85</v>
      </c>
      <c r="D48" s="8">
        <v>5800</v>
      </c>
      <c r="E48" s="8">
        <f t="shared" ref="E48" si="85">B48-C48-D48</f>
        <v>80031.640000000014</v>
      </c>
      <c r="F48" s="8">
        <f>ROUND($E48*0.36,2)+0.01</f>
        <v>28811.399999999998</v>
      </c>
      <c r="G48" s="8">
        <f>ROUND($E48*0.17,2)-0.01</f>
        <v>13605.369999999999</v>
      </c>
      <c r="H48" s="8">
        <f>ROUND($E48*0.047,2)-0.01</f>
        <v>3761.4799999999996</v>
      </c>
      <c r="I48" s="8">
        <f>ROUND($E48*0.423,2)+0.01</f>
        <v>33853.39</v>
      </c>
      <c r="J48" s="12">
        <f t="shared" ref="J48" si="86">E48/K48</f>
        <v>579.93942028985521</v>
      </c>
      <c r="K48" s="13">
        <v>138</v>
      </c>
    </row>
    <row r="49" spans="1:11" ht="15" customHeight="1" x14ac:dyDescent="0.25">
      <c r="A49" s="11">
        <f t="shared" si="4"/>
        <v>44681</v>
      </c>
      <c r="B49" s="8">
        <v>1123294.0900000001</v>
      </c>
      <c r="C49" s="8">
        <v>1111380.17</v>
      </c>
      <c r="D49" s="8">
        <v>9480</v>
      </c>
      <c r="E49" s="8">
        <f t="shared" ref="E49" si="87">B49-C49-D49</f>
        <v>2433.9200000001583</v>
      </c>
      <c r="F49" s="8">
        <f>ROUND($E49*0.36,2)</f>
        <v>876.21</v>
      </c>
      <c r="G49" s="8">
        <f>ROUND($E49*0.17,2)</f>
        <v>413.77</v>
      </c>
      <c r="H49" s="8">
        <f>ROUND($E49*0.047,2)+0.01</f>
        <v>114.4</v>
      </c>
      <c r="I49" s="8">
        <f>ROUND($E49*0.423,2)-0.01</f>
        <v>1029.54</v>
      </c>
      <c r="J49" s="12">
        <f t="shared" ref="J49" si="88">E49/K49</f>
        <v>21.53911504424919</v>
      </c>
      <c r="K49" s="13">
        <v>113</v>
      </c>
    </row>
    <row r="50" spans="1:11" ht="15" customHeight="1" x14ac:dyDescent="0.25">
      <c r="A50" s="11">
        <f t="shared" si="4"/>
        <v>44688</v>
      </c>
      <c r="B50" s="8">
        <v>1217447.98</v>
      </c>
      <c r="C50" s="8">
        <v>1045374.87</v>
      </c>
      <c r="D50" s="8">
        <v>12695</v>
      </c>
      <c r="E50" s="8">
        <f t="shared" ref="E50" si="89">B50-C50-D50</f>
        <v>159378.10999999999</v>
      </c>
      <c r="F50" s="8">
        <f>ROUND($E50*0.36,2)-0.01</f>
        <v>57376.11</v>
      </c>
      <c r="G50" s="8">
        <f>ROUND($E50*0.17,2)</f>
        <v>27094.28</v>
      </c>
      <c r="H50" s="8">
        <f>ROUND($E50*0.047,2)+0.01</f>
        <v>7490.7800000000007</v>
      </c>
      <c r="I50" s="8">
        <f>ROUND($E50*0.423,2)</f>
        <v>67416.94</v>
      </c>
      <c r="J50" s="12">
        <f t="shared" ref="J50" si="90">E50/K50</f>
        <v>1207.409924242424</v>
      </c>
      <c r="K50" s="13">
        <v>132</v>
      </c>
    </row>
    <row r="51" spans="1:11" ht="15" customHeight="1" x14ac:dyDescent="0.25">
      <c r="A51" s="11">
        <f t="shared" si="4"/>
        <v>44695</v>
      </c>
      <c r="B51" s="8">
        <v>1041828.8300000001</v>
      </c>
      <c r="C51" s="8">
        <v>932642.98</v>
      </c>
      <c r="D51" s="8">
        <v>7457</v>
      </c>
      <c r="E51" s="8">
        <f t="shared" ref="E51" si="91">B51-C51-D51</f>
        <v>101728.85000000009</v>
      </c>
      <c r="F51" s="8">
        <f>ROUND($E51*0.36,2)-0.01</f>
        <v>36622.379999999997</v>
      </c>
      <c r="G51" s="8">
        <f>ROUND($E51*0.17,2)+0.01</f>
        <v>17293.91</v>
      </c>
      <c r="H51" s="8">
        <f>ROUND($E51*0.047,2)</f>
        <v>4781.26</v>
      </c>
      <c r="I51" s="8">
        <f>ROUND($E51*0.423,2)</f>
        <v>43031.3</v>
      </c>
      <c r="J51" s="12">
        <f t="shared" ref="J51" si="92">E51/K51</f>
        <v>892.35833333333414</v>
      </c>
      <c r="K51" s="13">
        <v>114</v>
      </c>
    </row>
    <row r="52" spans="1:11" ht="15" customHeight="1" x14ac:dyDescent="0.25">
      <c r="A52" s="11">
        <f t="shared" si="4"/>
        <v>44702</v>
      </c>
      <c r="B52" s="8">
        <v>630578.09000000008</v>
      </c>
      <c r="C52" s="8">
        <v>529240.33000000007</v>
      </c>
      <c r="D52" s="8">
        <v>6744</v>
      </c>
      <c r="E52" s="8">
        <f t="shared" ref="E52" si="93">B52-C52-D52</f>
        <v>94593.760000000009</v>
      </c>
      <c r="F52" s="8">
        <f>ROUND($E52*0.36,2)-0.02</f>
        <v>34053.730000000003</v>
      </c>
      <c r="G52" s="8">
        <f>ROUND($E52*0.17,2)+0.01</f>
        <v>16080.95</v>
      </c>
      <c r="H52" s="8">
        <f>ROUND($E52*0.047,2)</f>
        <v>4445.91</v>
      </c>
      <c r="I52" s="8">
        <f>ROUND($E52*0.423,2)+0.01</f>
        <v>40013.170000000006</v>
      </c>
      <c r="J52" s="12">
        <f t="shared" ref="J52" si="94">E52/K52</f>
        <v>756.75008000000003</v>
      </c>
      <c r="K52" s="13">
        <v>125</v>
      </c>
    </row>
    <row r="53" spans="1:11" ht="15" customHeight="1" x14ac:dyDescent="0.25">
      <c r="A53" s="11">
        <f t="shared" si="4"/>
        <v>44709</v>
      </c>
      <c r="B53" s="8">
        <v>1658396.73</v>
      </c>
      <c r="C53" s="8">
        <v>1469547.88</v>
      </c>
      <c r="D53" s="8">
        <v>20880</v>
      </c>
      <c r="E53" s="8">
        <f t="shared" ref="E53" si="95">B53-C53-D53</f>
        <v>167968.85000000009</v>
      </c>
      <c r="F53" s="8">
        <f>ROUND($E53*0.36,2)+0.02</f>
        <v>60468.81</v>
      </c>
      <c r="G53" s="8">
        <f>ROUND($E53*0.17,2)</f>
        <v>28554.7</v>
      </c>
      <c r="H53" s="8">
        <f>ROUND($E53*0.047,2)-0.01</f>
        <v>7894.53</v>
      </c>
      <c r="I53" s="8">
        <f>ROUND($E53*0.423,2)-0.01</f>
        <v>71050.810000000012</v>
      </c>
      <c r="J53" s="12">
        <f t="shared" ref="J53" si="96">E53/K53</f>
        <v>1182.8792253521133</v>
      </c>
      <c r="K53" s="13">
        <v>142</v>
      </c>
    </row>
    <row r="54" spans="1:11" ht="15" customHeight="1" x14ac:dyDescent="0.25">
      <c r="A54" s="11">
        <f t="shared" si="4"/>
        <v>44716</v>
      </c>
      <c r="B54" s="8">
        <v>1127942.4300000002</v>
      </c>
      <c r="C54" s="8">
        <v>1114685.2</v>
      </c>
      <c r="D54" s="8">
        <v>29710</v>
      </c>
      <c r="E54" s="8">
        <f t="shared" ref="E54" si="97">B54-C54-D54</f>
        <v>-16452.769999999786</v>
      </c>
      <c r="F54" s="8">
        <f>ROUND($E54*0.36,2)+0.01</f>
        <v>-5922.99</v>
      </c>
      <c r="G54" s="8">
        <f>ROUND($E54*0.17,2)</f>
        <v>-2796.97</v>
      </c>
      <c r="H54" s="8">
        <f>ROUND($E54*0.047,2)</f>
        <v>-773.28</v>
      </c>
      <c r="I54" s="8">
        <f>ROUND($E54*0.423,2)-0.01</f>
        <v>-6959.5300000000007</v>
      </c>
      <c r="J54" s="12">
        <f t="shared" ref="J54" si="98">E54/K54</f>
        <v>-118.36525179855961</v>
      </c>
      <c r="K54" s="13">
        <v>139</v>
      </c>
    </row>
    <row r="55" spans="1:11" ht="15" customHeight="1" x14ac:dyDescent="0.25">
      <c r="A55" s="11">
        <f t="shared" si="4"/>
        <v>44723</v>
      </c>
      <c r="B55" s="8">
        <v>923474.83000000007</v>
      </c>
      <c r="C55" s="8">
        <v>811186.67</v>
      </c>
      <c r="D55" s="8">
        <v>17380</v>
      </c>
      <c r="E55" s="8">
        <f t="shared" ref="E55" si="99">B55-C55-D55</f>
        <v>94908.160000000033</v>
      </c>
      <c r="F55" s="8">
        <f>ROUND($E55*0.36,2)+0.01</f>
        <v>34166.950000000004</v>
      </c>
      <c r="G55" s="8">
        <f>ROUND($E55*0.17,2)</f>
        <v>16134.39</v>
      </c>
      <c r="H55" s="8">
        <f>ROUND($E55*0.047,2)</f>
        <v>4460.68</v>
      </c>
      <c r="I55" s="8">
        <f>ROUND($E55*0.423,2)-0.01</f>
        <v>40146.14</v>
      </c>
      <c r="J55" s="12">
        <f t="shared" ref="J55" si="100">E55/K55</f>
        <v>724.48977099236663</v>
      </c>
      <c r="K55" s="13">
        <v>131</v>
      </c>
    </row>
    <row r="56" spans="1:11" ht="15" customHeight="1" x14ac:dyDescent="0.25">
      <c r="A56" s="11">
        <f t="shared" si="4"/>
        <v>44730</v>
      </c>
      <c r="B56" s="8">
        <v>1066696.78</v>
      </c>
      <c r="C56" s="8">
        <v>943842.42</v>
      </c>
      <c r="D56" s="8">
        <v>13511</v>
      </c>
      <c r="E56" s="8">
        <f t="shared" ref="E56" si="101">B56-C56-D56</f>
        <v>109343.35999999999</v>
      </c>
      <c r="F56" s="8">
        <f>ROUND($E56*0.36,2)-0.01</f>
        <v>39363.599999999999</v>
      </c>
      <c r="G56" s="8">
        <f>ROUND($E56*0.17,2)</f>
        <v>18588.37</v>
      </c>
      <c r="H56" s="8">
        <f>ROUND($E56*0.047,2)+0.01</f>
        <v>5139.1500000000005</v>
      </c>
      <c r="I56" s="8">
        <f>ROUND($E56*0.423,2)</f>
        <v>46252.24</v>
      </c>
      <c r="J56" s="12">
        <f t="shared" ref="J56" si="102">E56/K56</f>
        <v>754.09213793103436</v>
      </c>
      <c r="K56" s="13">
        <v>145</v>
      </c>
    </row>
    <row r="57" spans="1:11" ht="15" customHeight="1" x14ac:dyDescent="0.25">
      <c r="A57" s="11">
        <f t="shared" si="4"/>
        <v>44737</v>
      </c>
      <c r="B57" s="8">
        <v>1225302.56</v>
      </c>
      <c r="C57" s="8">
        <v>1072391.3599999999</v>
      </c>
      <c r="D57" s="8">
        <v>12309</v>
      </c>
      <c r="E57" s="8">
        <f t="shared" ref="E57" si="103">B57-C57-D57</f>
        <v>140602.20000000019</v>
      </c>
      <c r="F57" s="8">
        <f>ROUND($E57*0.36,2)</f>
        <v>50616.79</v>
      </c>
      <c r="G57" s="8">
        <f>ROUND($E57*0.17,2)+0.01</f>
        <v>23902.379999999997</v>
      </c>
      <c r="H57" s="8">
        <f>ROUND($E57*0.047,2)</f>
        <v>6608.3</v>
      </c>
      <c r="I57" s="8">
        <f>ROUND($E57*0.423,2)</f>
        <v>59474.73</v>
      </c>
      <c r="J57" s="12">
        <f t="shared" ref="J57" si="104">E57/K57</f>
        <v>1004.3014285714299</v>
      </c>
      <c r="K57" s="13">
        <v>140</v>
      </c>
    </row>
    <row r="58" spans="1:11" ht="15" customHeight="1" x14ac:dyDescent="0.25">
      <c r="A58" s="11" t="s">
        <v>35</v>
      </c>
      <c r="B58" s="8">
        <v>813447.08</v>
      </c>
      <c r="C58" s="8">
        <v>732960.56</v>
      </c>
      <c r="D58" s="8">
        <v>7220</v>
      </c>
      <c r="E58" s="8">
        <f t="shared" ref="E58" si="105">B58-C58-D58</f>
        <v>73266.519999999902</v>
      </c>
      <c r="F58" s="8">
        <f>ROUND($E58*0.36,2)+0.01</f>
        <v>26375.96</v>
      </c>
      <c r="G58" s="8">
        <f>ROUND($E58*0.17,2)</f>
        <v>12455.31</v>
      </c>
      <c r="H58" s="8">
        <f>ROUND($E58*0.047,2)-0.01</f>
        <v>3443.52</v>
      </c>
      <c r="I58" s="8">
        <f>ROUND($E58*0.423,2)-0.01</f>
        <v>30991.730000000003</v>
      </c>
      <c r="J58" s="12">
        <f t="shared" ref="J58" si="106">E58/K58</f>
        <v>572.39468749999924</v>
      </c>
      <c r="K58" s="13">
        <v>128</v>
      </c>
    </row>
    <row r="59" spans="1:11" ht="15" customHeight="1" x14ac:dyDescent="0.25">
      <c r="J59" s="8"/>
    </row>
    <row r="60" spans="1:11" ht="15" customHeight="1" thickBot="1" x14ac:dyDescent="0.3">
      <c r="B60" s="9">
        <f t="shared" ref="B60:I60" si="107">SUM(B6:B59)</f>
        <v>73505238.040000007</v>
      </c>
      <c r="C60" s="9">
        <f t="shared" si="107"/>
        <v>67478718.859999999</v>
      </c>
      <c r="D60" s="9">
        <f t="shared" si="107"/>
        <v>815240</v>
      </c>
      <c r="E60" s="9">
        <f t="shared" si="107"/>
        <v>5211279.1800000016</v>
      </c>
      <c r="F60" s="9">
        <f t="shared" si="107"/>
        <v>1876060.58</v>
      </c>
      <c r="G60" s="9">
        <f t="shared" si="107"/>
        <v>885917.48</v>
      </c>
      <c r="H60" s="9">
        <f t="shared" si="107"/>
        <v>244930.11000000002</v>
      </c>
      <c r="I60" s="9">
        <f t="shared" si="107"/>
        <v>2204371.0099999998</v>
      </c>
      <c r="J60" s="14">
        <f>AVERAGE(J6:J59)</f>
        <v>708.99303890607473</v>
      </c>
      <c r="K60" s="15">
        <f>AVERAGE(K6:K59)</f>
        <v>137.26415094339623</v>
      </c>
    </row>
    <row r="61" spans="1:11" ht="15" customHeight="1" thickTop="1" x14ac:dyDescent="0.25"/>
    <row r="62" spans="1:11" ht="15" customHeight="1" x14ac:dyDescent="0.25">
      <c r="A62" s="18" t="s">
        <v>31</v>
      </c>
    </row>
    <row r="63" spans="1:11" ht="15" customHeight="1" x14ac:dyDescent="0.25">
      <c r="A63" s="18" t="s">
        <v>36</v>
      </c>
    </row>
    <row r="64" spans="1:11" ht="15" customHeight="1" x14ac:dyDescent="0.25">
      <c r="A64" s="18" t="s">
        <v>37</v>
      </c>
    </row>
  </sheetData>
  <mergeCells count="1">
    <mergeCell ref="A4:K4"/>
  </mergeCells>
  <printOptions horizontalCentered="1"/>
  <pageMargins left="0.25" right="0.25" top="0.75" bottom="0.5" header="0.25" footer="0"/>
  <pageSetup scale="52" orientation="landscape" r:id="rId1"/>
  <headerFooter>
    <oddHeader>&amp;C&amp;"Arial,Italic"&amp;10GREENBRIER HISTORIC RESORT VIDEO LOTTERY</oddHeader>
    <oddFooter>&amp;L&amp;"Arial,Regular"&amp;8&amp;F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Weekly Summary</vt:lpstr>
      <vt:lpstr>Table Games</vt:lpstr>
      <vt:lpstr>Video</vt:lpstr>
      <vt:lpstr>'Table Games'!Print_Area</vt:lpstr>
      <vt:lpstr>Video!Print_Area</vt:lpstr>
      <vt:lpstr>'Weekly Summary'!Print_Area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ITSUPPORT</cp:lastModifiedBy>
  <cp:lastPrinted>2020-07-16T13:12:09Z</cp:lastPrinted>
  <dcterms:created xsi:type="dcterms:W3CDTF">2017-06-16T18:01:39Z</dcterms:created>
  <dcterms:modified xsi:type="dcterms:W3CDTF">2022-07-06T14:09:09Z</dcterms:modified>
</cp:coreProperties>
</file>